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3" activeTab="10"/>
  </bookViews>
  <sheets>
    <sheet name="March 2022" sheetId="19" r:id="rId1"/>
    <sheet name="April 2022 " sheetId="21" r:id="rId2"/>
    <sheet name="May 2022" sheetId="22" r:id="rId3"/>
    <sheet name="June 2022" sheetId="23" r:id="rId4"/>
    <sheet name="July 2022" sheetId="24" r:id="rId5"/>
    <sheet name="Aug 2022  " sheetId="25" r:id="rId6"/>
    <sheet name="Sep 2022" sheetId="26" r:id="rId7"/>
    <sheet name="Oct 2022" sheetId="27" r:id="rId8"/>
    <sheet name="Nov 2022" sheetId="28" r:id="rId9"/>
    <sheet name="Dec 2022" sheetId="29" r:id="rId10"/>
    <sheet name="Jan 2023" sheetId="30" r:id="rId11"/>
    <sheet name="HT" sheetId="17" r:id="rId12"/>
  </sheets>
  <externalReferences>
    <externalReference r:id="rId13"/>
    <externalReference r:id="rId14"/>
    <externalReference r:id="rId15"/>
  </externalReferences>
  <definedNames>
    <definedName name="_xlnm._FilterDatabase" localSheetId="0" hidden="1">'March 2022'!$A$5:$W$5</definedName>
    <definedName name="_xlnm.Print_Area" localSheetId="1">'April 2022 '!$A$1:$U$60</definedName>
    <definedName name="_xlnm.Print_Area" localSheetId="5">'Aug 2022  '!$A$1:$U$65</definedName>
    <definedName name="_xlnm.Print_Area" localSheetId="9">'Dec 2022'!$A$1:$U$65</definedName>
    <definedName name="_xlnm.Print_Area" localSheetId="10">'Jan 2023'!$A$1:$U$65</definedName>
    <definedName name="_xlnm.Print_Area" localSheetId="4">'July 2022'!$A$1:$U$65</definedName>
    <definedName name="_xlnm.Print_Area" localSheetId="3">'June 2022'!$A$1:$U$55</definedName>
    <definedName name="_xlnm.Print_Area" localSheetId="0">'March 2022'!$A$1:$U$60</definedName>
    <definedName name="_xlnm.Print_Area" localSheetId="2">'May 2022'!$A$1:$U$60</definedName>
    <definedName name="_xlnm.Print_Area" localSheetId="8">'Nov 2022'!$A$1:$U$65</definedName>
    <definedName name="_xlnm.Print_Area" localSheetId="7">'Oct 2022'!$A$1:$U$65</definedName>
    <definedName name="_xlnm.Print_Area" localSheetId="6">'Sep 2022'!$A$1:$U$55</definedName>
  </definedNames>
  <calcPr calcId="144525"/>
</workbook>
</file>

<file path=xl/calcChain.xml><?xml version="1.0" encoding="utf-8"?>
<calcChain xmlns="http://schemas.openxmlformats.org/spreadsheetml/2006/main">
  <c r="I51" i="30" l="1"/>
  <c r="L51" i="30"/>
  <c r="M51" i="30"/>
  <c r="O51" i="30"/>
  <c r="C51" i="30"/>
  <c r="F50" i="30"/>
  <c r="G50" i="30"/>
  <c r="I50" i="30"/>
  <c r="L50" i="30"/>
  <c r="M50" i="30"/>
  <c r="O50" i="30"/>
  <c r="R50" i="30"/>
  <c r="S50" i="30"/>
  <c r="C50" i="30"/>
  <c r="D49" i="30"/>
  <c r="F49" i="30"/>
  <c r="G49" i="30"/>
  <c r="I49" i="30"/>
  <c r="J49" i="30"/>
  <c r="J50" i="30" s="1"/>
  <c r="L49" i="30"/>
  <c r="M49" i="30"/>
  <c r="O49" i="30"/>
  <c r="P49" i="30"/>
  <c r="Q49" i="30"/>
  <c r="R49" i="30"/>
  <c r="S49" i="30"/>
  <c r="T49" i="30"/>
  <c r="C49" i="30"/>
  <c r="D44" i="30"/>
  <c r="F44" i="30"/>
  <c r="G44" i="30"/>
  <c r="I44" i="30"/>
  <c r="J44" i="30"/>
  <c r="K44" i="30"/>
  <c r="L44" i="30"/>
  <c r="M44" i="30"/>
  <c r="N44" i="30"/>
  <c r="O44" i="30"/>
  <c r="P44" i="30"/>
  <c r="P50" i="30" s="1"/>
  <c r="R44" i="30"/>
  <c r="S44" i="30"/>
  <c r="C44" i="30"/>
  <c r="F39" i="30"/>
  <c r="G39" i="30"/>
  <c r="I39" i="30"/>
  <c r="L39" i="30"/>
  <c r="M39" i="30"/>
  <c r="O39" i="30"/>
  <c r="R39" i="30"/>
  <c r="S39" i="30"/>
  <c r="C39" i="30"/>
  <c r="D38" i="30"/>
  <c r="F38" i="30"/>
  <c r="G38" i="30"/>
  <c r="I38" i="30"/>
  <c r="J38" i="30"/>
  <c r="L38" i="30"/>
  <c r="M38" i="30"/>
  <c r="O38" i="30"/>
  <c r="P38" i="30"/>
  <c r="Q38" i="30"/>
  <c r="R38" i="30"/>
  <c r="S38" i="30"/>
  <c r="T38" i="30"/>
  <c r="C38" i="30"/>
  <c r="D33" i="30"/>
  <c r="F33" i="30"/>
  <c r="G33" i="30"/>
  <c r="I33" i="30"/>
  <c r="J33" i="30"/>
  <c r="L33" i="30"/>
  <c r="M33" i="30"/>
  <c r="O33" i="30"/>
  <c r="P33" i="30"/>
  <c r="Q33" i="30"/>
  <c r="R33" i="30"/>
  <c r="S33" i="30"/>
  <c r="T33" i="30"/>
  <c r="C33" i="30"/>
  <c r="D28" i="30"/>
  <c r="F28" i="30"/>
  <c r="G28" i="30"/>
  <c r="I28" i="30"/>
  <c r="J28" i="30"/>
  <c r="L28" i="30"/>
  <c r="M28" i="30"/>
  <c r="O28" i="30"/>
  <c r="P28" i="30"/>
  <c r="P39" i="30" s="1"/>
  <c r="Q28" i="30"/>
  <c r="Q39" i="30" s="1"/>
  <c r="R28" i="30"/>
  <c r="S28" i="30"/>
  <c r="C28" i="30"/>
  <c r="I25" i="30"/>
  <c r="L25" i="30"/>
  <c r="M25" i="30"/>
  <c r="O25" i="30"/>
  <c r="P25" i="30"/>
  <c r="C25" i="30"/>
  <c r="D24" i="30"/>
  <c r="E24" i="30"/>
  <c r="F24" i="30"/>
  <c r="I24" i="30"/>
  <c r="J24" i="30"/>
  <c r="L24" i="30"/>
  <c r="M24" i="30"/>
  <c r="O24" i="30"/>
  <c r="P24" i="30"/>
  <c r="Q24" i="30"/>
  <c r="R24" i="30"/>
  <c r="C24" i="30"/>
  <c r="D19" i="30"/>
  <c r="F19" i="30"/>
  <c r="I19" i="30"/>
  <c r="J19" i="30"/>
  <c r="L19" i="30"/>
  <c r="M19" i="30"/>
  <c r="O19" i="30"/>
  <c r="P19" i="30"/>
  <c r="R19" i="30"/>
  <c r="R25" i="30" s="1"/>
  <c r="R51" i="30" s="1"/>
  <c r="C19" i="30"/>
  <c r="D15" i="30"/>
  <c r="E15" i="30"/>
  <c r="F15" i="30"/>
  <c r="G15" i="30"/>
  <c r="H15" i="30"/>
  <c r="I15" i="30"/>
  <c r="J15" i="30"/>
  <c r="L15" i="30"/>
  <c r="M15" i="30"/>
  <c r="O15" i="30"/>
  <c r="P15" i="30"/>
  <c r="R15" i="30"/>
  <c r="S15" i="30"/>
  <c r="C15" i="30"/>
  <c r="D11" i="30"/>
  <c r="F11" i="30"/>
  <c r="G11" i="30"/>
  <c r="I11" i="30"/>
  <c r="J11" i="30"/>
  <c r="L11" i="30"/>
  <c r="M11" i="30"/>
  <c r="O11" i="30"/>
  <c r="P11" i="30"/>
  <c r="Q11" i="30"/>
  <c r="R11" i="30"/>
  <c r="S11" i="30"/>
  <c r="T11" i="30"/>
  <c r="C11" i="30"/>
  <c r="S8" i="30"/>
  <c r="S9" i="30"/>
  <c r="S10" i="30"/>
  <c r="S12" i="30"/>
  <c r="S13" i="30"/>
  <c r="S14" i="30"/>
  <c r="S16" i="30"/>
  <c r="S17" i="30"/>
  <c r="S18" i="30"/>
  <c r="S19" i="30" s="1"/>
  <c r="S20" i="30"/>
  <c r="S21" i="30"/>
  <c r="S24" i="30" s="1"/>
  <c r="S22" i="30"/>
  <c r="S23" i="30"/>
  <c r="S26" i="30"/>
  <c r="S27" i="30"/>
  <c r="S29" i="30"/>
  <c r="S30" i="30"/>
  <c r="S31" i="30"/>
  <c r="S32" i="30"/>
  <c r="S34" i="30"/>
  <c r="S35" i="30"/>
  <c r="S36" i="30"/>
  <c r="S37" i="30"/>
  <c r="S40" i="30"/>
  <c r="S41" i="30"/>
  <c r="S42" i="30"/>
  <c r="S43" i="30"/>
  <c r="S45" i="30"/>
  <c r="S46" i="30"/>
  <c r="S47" i="30"/>
  <c r="S48" i="30"/>
  <c r="S7" i="30"/>
  <c r="Q8" i="30"/>
  <c r="Q9" i="30"/>
  <c r="Q10" i="30"/>
  <c r="Q12" i="30"/>
  <c r="Q15" i="30" s="1"/>
  <c r="Q13" i="30"/>
  <c r="Q14" i="30"/>
  <c r="Q16" i="30"/>
  <c r="Q19" i="30" s="1"/>
  <c r="Q17" i="30"/>
  <c r="Q18" i="30"/>
  <c r="Q20" i="30"/>
  <c r="Q21" i="30"/>
  <c r="Q22" i="30"/>
  <c r="Q23" i="30"/>
  <c r="Q26" i="30"/>
  <c r="Q27" i="30"/>
  <c r="Q29" i="30"/>
  <c r="Q30" i="30"/>
  <c r="Q31" i="30"/>
  <c r="Q32" i="30"/>
  <c r="Q34" i="30"/>
  <c r="Q35" i="30"/>
  <c r="Q36" i="30"/>
  <c r="Q37" i="30"/>
  <c r="Q40" i="30"/>
  <c r="Q41" i="30"/>
  <c r="Q42" i="30"/>
  <c r="Q43" i="30"/>
  <c r="Q45" i="30"/>
  <c r="Q46" i="30"/>
  <c r="Q47" i="30"/>
  <c r="Q48" i="30"/>
  <c r="Q7" i="30"/>
  <c r="M8" i="30"/>
  <c r="M9" i="30"/>
  <c r="M10" i="30"/>
  <c r="M12" i="30"/>
  <c r="M13" i="30"/>
  <c r="M14" i="30"/>
  <c r="M16" i="30"/>
  <c r="M17" i="30"/>
  <c r="M18" i="30"/>
  <c r="M20" i="30"/>
  <c r="M21" i="30"/>
  <c r="M22" i="30"/>
  <c r="M23" i="30"/>
  <c r="M26" i="30"/>
  <c r="M27" i="30"/>
  <c r="M29" i="30"/>
  <c r="M30" i="30"/>
  <c r="M31" i="30"/>
  <c r="M32" i="30"/>
  <c r="M34" i="30"/>
  <c r="M35" i="30"/>
  <c r="M36" i="30"/>
  <c r="M37" i="30"/>
  <c r="M40" i="30"/>
  <c r="M41" i="30"/>
  <c r="M42" i="30"/>
  <c r="M43" i="30"/>
  <c r="M45" i="30"/>
  <c r="M46" i="30"/>
  <c r="M47" i="30"/>
  <c r="M48" i="30"/>
  <c r="M7" i="30"/>
  <c r="K8" i="30"/>
  <c r="K9" i="30"/>
  <c r="K10" i="30"/>
  <c r="K12" i="30"/>
  <c r="K13" i="30"/>
  <c r="K14" i="30"/>
  <c r="K16" i="30"/>
  <c r="K17" i="30"/>
  <c r="K18" i="30"/>
  <c r="K20" i="30"/>
  <c r="K21" i="30"/>
  <c r="K22" i="30"/>
  <c r="K23" i="30"/>
  <c r="K26" i="30"/>
  <c r="K27" i="30"/>
  <c r="K28" i="30" s="1"/>
  <c r="K29" i="30"/>
  <c r="K30" i="30"/>
  <c r="K31" i="30"/>
  <c r="K32" i="30"/>
  <c r="K34" i="30"/>
  <c r="K38" i="30" s="1"/>
  <c r="K35" i="30"/>
  <c r="K36" i="30"/>
  <c r="K37" i="30"/>
  <c r="K40" i="30"/>
  <c r="K41" i="30"/>
  <c r="K42" i="30"/>
  <c r="K43" i="30"/>
  <c r="K45" i="30"/>
  <c r="K49" i="30" s="1"/>
  <c r="K50" i="30" s="1"/>
  <c r="K46" i="30"/>
  <c r="K47" i="30"/>
  <c r="K48" i="30"/>
  <c r="K7" i="30"/>
  <c r="G8" i="30"/>
  <c r="G9" i="30"/>
  <c r="G10" i="30"/>
  <c r="G12" i="30"/>
  <c r="G13" i="30"/>
  <c r="G14" i="30"/>
  <c r="G16" i="30"/>
  <c r="G17" i="30"/>
  <c r="G18" i="30"/>
  <c r="G19" i="30" s="1"/>
  <c r="G20" i="30"/>
  <c r="G21" i="30"/>
  <c r="G24" i="30" s="1"/>
  <c r="G22" i="30"/>
  <c r="G23" i="30"/>
  <c r="G26" i="30"/>
  <c r="G27" i="30"/>
  <c r="G29" i="30"/>
  <c r="G30" i="30"/>
  <c r="G31" i="30"/>
  <c r="G32" i="30"/>
  <c r="G34" i="30"/>
  <c r="G35" i="30"/>
  <c r="G36" i="30"/>
  <c r="G37" i="30"/>
  <c r="G40" i="30"/>
  <c r="G41" i="30"/>
  <c r="G42" i="30"/>
  <c r="G43" i="30"/>
  <c r="G45" i="30"/>
  <c r="G46" i="30"/>
  <c r="G47" i="30"/>
  <c r="G48" i="30"/>
  <c r="G7" i="30"/>
  <c r="E8" i="30"/>
  <c r="E11" i="30" s="1"/>
  <c r="E9" i="30"/>
  <c r="E10" i="30"/>
  <c r="E12" i="30"/>
  <c r="E13" i="30"/>
  <c r="E14" i="30"/>
  <c r="E16" i="30"/>
  <c r="E17" i="30"/>
  <c r="E18" i="30"/>
  <c r="E20" i="30"/>
  <c r="E21" i="30"/>
  <c r="E22" i="30"/>
  <c r="E23" i="30"/>
  <c r="E26" i="30"/>
  <c r="E27" i="30"/>
  <c r="E29" i="30"/>
  <c r="E30" i="30"/>
  <c r="E31" i="30"/>
  <c r="E32" i="30"/>
  <c r="E34" i="30"/>
  <c r="E35" i="30"/>
  <c r="E36" i="30"/>
  <c r="E37" i="30"/>
  <c r="E40" i="30"/>
  <c r="E41" i="30"/>
  <c r="E42" i="30"/>
  <c r="E43" i="30"/>
  <c r="E45" i="30"/>
  <c r="E46" i="30"/>
  <c r="E47" i="30"/>
  <c r="E48" i="30"/>
  <c r="E7" i="30"/>
  <c r="O8" i="30"/>
  <c r="O9" i="30"/>
  <c r="O10" i="30"/>
  <c r="O12" i="30"/>
  <c r="O13" i="30"/>
  <c r="O14" i="30"/>
  <c r="O16" i="30"/>
  <c r="O17" i="30"/>
  <c r="O18" i="30"/>
  <c r="O20" i="30"/>
  <c r="O21" i="30"/>
  <c r="O22" i="30"/>
  <c r="O23" i="30"/>
  <c r="O26" i="30"/>
  <c r="O27" i="30"/>
  <c r="O29" i="30"/>
  <c r="O30" i="30"/>
  <c r="O31" i="30"/>
  <c r="O32" i="30"/>
  <c r="O34" i="30"/>
  <c r="O35" i="30"/>
  <c r="O36" i="30"/>
  <c r="O37" i="30"/>
  <c r="O40" i="30"/>
  <c r="O41" i="30"/>
  <c r="O42" i="30"/>
  <c r="O43" i="30"/>
  <c r="O45" i="30"/>
  <c r="O46" i="30"/>
  <c r="O47" i="30"/>
  <c r="O48" i="30"/>
  <c r="O7" i="30"/>
  <c r="I8" i="30"/>
  <c r="I9" i="30"/>
  <c r="I10" i="30"/>
  <c r="I12" i="30"/>
  <c r="I13" i="30"/>
  <c r="I14" i="30"/>
  <c r="I16" i="30"/>
  <c r="I17" i="30"/>
  <c r="I18" i="30"/>
  <c r="I20" i="30"/>
  <c r="I21" i="30"/>
  <c r="I22" i="30"/>
  <c r="I23" i="30"/>
  <c r="I26" i="30"/>
  <c r="I27" i="30"/>
  <c r="I29" i="30"/>
  <c r="I30" i="30"/>
  <c r="I31" i="30"/>
  <c r="I32" i="30"/>
  <c r="I34" i="30"/>
  <c r="I35" i="30"/>
  <c r="I36" i="30"/>
  <c r="I37" i="30"/>
  <c r="I40" i="30"/>
  <c r="I41" i="30"/>
  <c r="I42" i="30"/>
  <c r="I43" i="30"/>
  <c r="I45" i="30"/>
  <c r="N45" i="30" s="1"/>
  <c r="N49" i="30" s="1"/>
  <c r="N50" i="30" s="1"/>
  <c r="I46" i="30"/>
  <c r="I47" i="30"/>
  <c r="I48" i="30"/>
  <c r="I7" i="30"/>
  <c r="C8" i="30"/>
  <c r="C9" i="30"/>
  <c r="C10" i="30"/>
  <c r="C12" i="30"/>
  <c r="C13" i="30"/>
  <c r="C14" i="30"/>
  <c r="C16" i="30"/>
  <c r="C17" i="30"/>
  <c r="C18" i="30"/>
  <c r="C20" i="30"/>
  <c r="C21" i="30"/>
  <c r="C22" i="30"/>
  <c r="C23" i="30"/>
  <c r="C26" i="30"/>
  <c r="C27" i="30"/>
  <c r="C29" i="30"/>
  <c r="C30" i="30"/>
  <c r="H30" i="30" s="1"/>
  <c r="C31" i="30"/>
  <c r="C32" i="30"/>
  <c r="C34" i="30"/>
  <c r="C35" i="30"/>
  <c r="C36" i="30"/>
  <c r="C37" i="30"/>
  <c r="C40" i="30"/>
  <c r="C41" i="30"/>
  <c r="C42" i="30"/>
  <c r="C43" i="30"/>
  <c r="C45" i="30"/>
  <c r="C46" i="30"/>
  <c r="C47" i="30"/>
  <c r="C48" i="30"/>
  <c r="H48" i="30" s="1"/>
  <c r="C7" i="30"/>
  <c r="H64" i="30"/>
  <c r="T48" i="30"/>
  <c r="N48" i="30"/>
  <c r="T47" i="30"/>
  <c r="N47" i="30"/>
  <c r="H47" i="30"/>
  <c r="T46" i="30"/>
  <c r="H46" i="30"/>
  <c r="T45" i="30"/>
  <c r="H45" i="30"/>
  <c r="T43" i="30"/>
  <c r="N43" i="30"/>
  <c r="H43" i="30"/>
  <c r="U43" i="30" s="1"/>
  <c r="T42" i="30"/>
  <c r="N42" i="30"/>
  <c r="H42" i="30"/>
  <c r="T40" i="30"/>
  <c r="N40" i="30"/>
  <c r="H40" i="30"/>
  <c r="V39" i="30"/>
  <c r="T37" i="30"/>
  <c r="N37" i="30"/>
  <c r="H37" i="30"/>
  <c r="T36" i="30"/>
  <c r="N36" i="30"/>
  <c r="H36" i="30"/>
  <c r="T34" i="30"/>
  <c r="N34" i="30"/>
  <c r="N38" i="30" s="1"/>
  <c r="H34" i="30"/>
  <c r="T32" i="30"/>
  <c r="N32" i="30"/>
  <c r="H32" i="30"/>
  <c r="T31" i="30"/>
  <c r="N31" i="30"/>
  <c r="H31" i="30"/>
  <c r="T30" i="30"/>
  <c r="N30" i="30"/>
  <c r="T27" i="30"/>
  <c r="T28" i="30" s="1"/>
  <c r="T39" i="30" s="1"/>
  <c r="N27" i="30"/>
  <c r="N28" i="30" s="1"/>
  <c r="H27" i="30"/>
  <c r="T26" i="30"/>
  <c r="N26" i="30"/>
  <c r="H26" i="30"/>
  <c r="T23" i="30"/>
  <c r="N23" i="30"/>
  <c r="H23" i="30"/>
  <c r="T22" i="30"/>
  <c r="N22" i="30"/>
  <c r="H22" i="30"/>
  <c r="T21" i="30"/>
  <c r="T24" i="30" s="1"/>
  <c r="N21" i="30"/>
  <c r="H21" i="30"/>
  <c r="H24" i="30" s="1"/>
  <c r="T20" i="30"/>
  <c r="N20" i="30"/>
  <c r="H20" i="30"/>
  <c r="T18" i="30"/>
  <c r="N18" i="30"/>
  <c r="H18" i="30"/>
  <c r="T17" i="30"/>
  <c r="N17" i="30"/>
  <c r="H17" i="30"/>
  <c r="T16" i="30"/>
  <c r="T19" i="30" s="1"/>
  <c r="N16" i="30"/>
  <c r="H16" i="30"/>
  <c r="T14" i="30"/>
  <c r="N14" i="30"/>
  <c r="H14" i="30"/>
  <c r="T13" i="30"/>
  <c r="N13" i="30"/>
  <c r="H13" i="30"/>
  <c r="N12" i="30"/>
  <c r="T10" i="30"/>
  <c r="N10" i="30"/>
  <c r="N11" i="30" s="1"/>
  <c r="H10" i="30"/>
  <c r="T9" i="30"/>
  <c r="N9" i="30"/>
  <c r="H9" i="30"/>
  <c r="T8" i="30"/>
  <c r="N8" i="30"/>
  <c r="H8" i="30"/>
  <c r="H11" i="30" s="1"/>
  <c r="T7" i="30"/>
  <c r="N7" i="30"/>
  <c r="H7" i="30"/>
  <c r="Q44" i="30" l="1"/>
  <c r="Q50" i="30" s="1"/>
  <c r="H49" i="30"/>
  <c r="E49" i="30"/>
  <c r="D50" i="30"/>
  <c r="E44" i="30"/>
  <c r="E38" i="30"/>
  <c r="K33" i="30"/>
  <c r="J39" i="30"/>
  <c r="K39" i="30"/>
  <c r="E33" i="30"/>
  <c r="D39" i="30"/>
  <c r="P51" i="30"/>
  <c r="H28" i="30"/>
  <c r="E28" i="30"/>
  <c r="E39" i="30" s="1"/>
  <c r="Q25" i="30"/>
  <c r="N15" i="30"/>
  <c r="K15" i="30"/>
  <c r="S25" i="30"/>
  <c r="S51" i="30" s="1"/>
  <c r="N19" i="30"/>
  <c r="K19" i="30"/>
  <c r="F25" i="30"/>
  <c r="F51" i="30" s="1"/>
  <c r="E19" i="30"/>
  <c r="D25" i="30"/>
  <c r="H19" i="30"/>
  <c r="H25" i="30" s="1"/>
  <c r="G25" i="30"/>
  <c r="G51" i="30" s="1"/>
  <c r="E25" i="30"/>
  <c r="K11" i="30"/>
  <c r="J25" i="30"/>
  <c r="J51" i="30" s="1"/>
  <c r="K24" i="30"/>
  <c r="N24" i="30"/>
  <c r="U27" i="30"/>
  <c r="U18" i="30"/>
  <c r="U14" i="30"/>
  <c r="U8" i="30"/>
  <c r="U20" i="30"/>
  <c r="U22" i="30"/>
  <c r="U32" i="30"/>
  <c r="U10" i="30"/>
  <c r="U13" i="30"/>
  <c r="U16" i="30"/>
  <c r="U19" i="30" s="1"/>
  <c r="U21" i="30"/>
  <c r="U23" i="30"/>
  <c r="U26" i="30"/>
  <c r="U34" i="30"/>
  <c r="U37" i="30"/>
  <c r="U42" i="30"/>
  <c r="U30" i="30"/>
  <c r="U48" i="30"/>
  <c r="U9" i="30"/>
  <c r="U31" i="30"/>
  <c r="U40" i="30"/>
  <c r="U47" i="30"/>
  <c r="U7" i="30"/>
  <c r="T12" i="30"/>
  <c r="T15" i="30" s="1"/>
  <c r="T25" i="30" s="1"/>
  <c r="U17" i="30"/>
  <c r="T29" i="30"/>
  <c r="H29" i="30"/>
  <c r="H33" i="30" s="1"/>
  <c r="N29" i="30"/>
  <c r="N33" i="30" s="1"/>
  <c r="N39" i="30" s="1"/>
  <c r="U36" i="30"/>
  <c r="H12" i="30"/>
  <c r="H35" i="30"/>
  <c r="H38" i="30" s="1"/>
  <c r="N35" i="30"/>
  <c r="T35" i="30"/>
  <c r="H41" i="30"/>
  <c r="H44" i="30" s="1"/>
  <c r="H50" i="30" s="1"/>
  <c r="N41" i="30"/>
  <c r="U45" i="30"/>
  <c r="N46" i="30"/>
  <c r="T41" i="30"/>
  <c r="T44" i="30" s="1"/>
  <c r="T50" i="30" s="1"/>
  <c r="J54" i="29"/>
  <c r="Q51" i="30" l="1"/>
  <c r="T51" i="30"/>
  <c r="D51" i="30"/>
  <c r="E50" i="30"/>
  <c r="E51" i="30"/>
  <c r="H39" i="30"/>
  <c r="H51" i="30"/>
  <c r="U28" i="30"/>
  <c r="N25" i="30"/>
  <c r="N51" i="30" s="1"/>
  <c r="K25" i="30"/>
  <c r="K51" i="30" s="1"/>
  <c r="U11" i="30"/>
  <c r="U24" i="30"/>
  <c r="U46" i="30"/>
  <c r="U49" i="30" s="1"/>
  <c r="U41" i="30"/>
  <c r="U44" i="30" s="1"/>
  <c r="U35" i="30"/>
  <c r="U38" i="30" s="1"/>
  <c r="U12" i="30"/>
  <c r="U15" i="30" s="1"/>
  <c r="U29" i="30"/>
  <c r="U33" i="30" s="1"/>
  <c r="O24" i="17"/>
  <c r="N24" i="17"/>
  <c r="K24" i="17"/>
  <c r="J24" i="17"/>
  <c r="G24" i="17"/>
  <c r="F24" i="17"/>
  <c r="U50" i="30" l="1"/>
  <c r="U39" i="30"/>
  <c r="U25" i="30"/>
  <c r="J53" i="30"/>
  <c r="M60" i="30" s="1"/>
  <c r="J54" i="30"/>
  <c r="P41" i="29"/>
  <c r="U51" i="30" l="1"/>
  <c r="M59" i="30"/>
  <c r="H62" i="30"/>
  <c r="N58" i="30"/>
  <c r="N56" i="30"/>
  <c r="I63" i="30"/>
  <c r="M57" i="30"/>
  <c r="O58" i="30"/>
  <c r="H59" i="30"/>
  <c r="H63" i="30"/>
  <c r="J55" i="30"/>
  <c r="H60" i="30"/>
  <c r="D37" i="29"/>
  <c r="D29" i="29"/>
  <c r="N66" i="28" l="1"/>
  <c r="N64" i="28"/>
  <c r="N63" i="28"/>
  <c r="N62" i="28"/>
  <c r="I51" i="29" l="1"/>
  <c r="L51" i="29"/>
  <c r="M51" i="29"/>
  <c r="O51" i="29"/>
  <c r="C51" i="29"/>
  <c r="F50" i="29"/>
  <c r="G50" i="29"/>
  <c r="I50" i="29"/>
  <c r="L50" i="29"/>
  <c r="M50" i="29"/>
  <c r="O50" i="29"/>
  <c r="R50" i="29"/>
  <c r="S50" i="29"/>
  <c r="C50" i="29"/>
  <c r="D49" i="29"/>
  <c r="D50" i="29" s="1"/>
  <c r="F49" i="29"/>
  <c r="G49" i="29"/>
  <c r="I49" i="29"/>
  <c r="J49" i="29"/>
  <c r="J50" i="29" s="1"/>
  <c r="L49" i="29"/>
  <c r="M49" i="29"/>
  <c r="O49" i="29"/>
  <c r="P49" i="29"/>
  <c r="P50" i="29" s="1"/>
  <c r="Q49" i="29"/>
  <c r="R49" i="29"/>
  <c r="S49" i="29"/>
  <c r="C49" i="29"/>
  <c r="D44" i="29"/>
  <c r="F44" i="29"/>
  <c r="G44" i="29"/>
  <c r="I44" i="29"/>
  <c r="J44" i="29"/>
  <c r="K44" i="29"/>
  <c r="L44" i="29"/>
  <c r="M44" i="29"/>
  <c r="N44" i="29"/>
  <c r="O44" i="29"/>
  <c r="P44" i="29"/>
  <c r="R44" i="29"/>
  <c r="S44" i="29"/>
  <c r="C44" i="29"/>
  <c r="F39" i="29"/>
  <c r="G39" i="29"/>
  <c r="I39" i="29"/>
  <c r="L39" i="29"/>
  <c r="M39" i="29"/>
  <c r="O39" i="29"/>
  <c r="R39" i="29"/>
  <c r="S39" i="29"/>
  <c r="C39" i="29"/>
  <c r="D38" i="29"/>
  <c r="F38" i="29"/>
  <c r="G38" i="29"/>
  <c r="I38" i="29"/>
  <c r="J38" i="29"/>
  <c r="L38" i="29"/>
  <c r="M38" i="29"/>
  <c r="O38" i="29"/>
  <c r="P38" i="29"/>
  <c r="Q38" i="29"/>
  <c r="R38" i="29"/>
  <c r="S38" i="29"/>
  <c r="T38" i="29"/>
  <c r="C38" i="29"/>
  <c r="D33" i="29"/>
  <c r="F33" i="29"/>
  <c r="G33" i="29"/>
  <c r="I33" i="29"/>
  <c r="J33" i="29"/>
  <c r="L33" i="29"/>
  <c r="M33" i="29"/>
  <c r="O33" i="29"/>
  <c r="P33" i="29"/>
  <c r="Q33" i="29"/>
  <c r="R33" i="29"/>
  <c r="S33" i="29"/>
  <c r="T33" i="29"/>
  <c r="C33" i="29"/>
  <c r="D28" i="29"/>
  <c r="F28" i="29"/>
  <c r="G28" i="29"/>
  <c r="I28" i="29"/>
  <c r="J28" i="29"/>
  <c r="L28" i="29"/>
  <c r="M28" i="29"/>
  <c r="O28" i="29"/>
  <c r="P28" i="29"/>
  <c r="P39" i="29" s="1"/>
  <c r="R28" i="29"/>
  <c r="S28" i="29"/>
  <c r="C28" i="29"/>
  <c r="I25" i="29"/>
  <c r="L25" i="29"/>
  <c r="M25" i="29"/>
  <c r="O25" i="29"/>
  <c r="C25" i="29"/>
  <c r="D24" i="29"/>
  <c r="E24" i="29"/>
  <c r="F24" i="29"/>
  <c r="G24" i="29"/>
  <c r="H24" i="29"/>
  <c r="I24" i="29"/>
  <c r="J24" i="29"/>
  <c r="L24" i="29"/>
  <c r="M24" i="29"/>
  <c r="O24" i="29"/>
  <c r="P24" i="29"/>
  <c r="Q24" i="29"/>
  <c r="R24" i="29"/>
  <c r="S24" i="29"/>
  <c r="T24" i="29"/>
  <c r="C24" i="29"/>
  <c r="D19" i="29"/>
  <c r="D25" i="29" s="1"/>
  <c r="F19" i="29"/>
  <c r="F25" i="29" s="1"/>
  <c r="F51" i="29" s="1"/>
  <c r="I19" i="29"/>
  <c r="J19" i="29"/>
  <c r="L19" i="29"/>
  <c r="M19" i="29"/>
  <c r="O19" i="29"/>
  <c r="P19" i="29"/>
  <c r="P25" i="29" s="1"/>
  <c r="R19" i="29"/>
  <c r="C19" i="29"/>
  <c r="D15" i="29"/>
  <c r="E15" i="29"/>
  <c r="F15" i="29"/>
  <c r="G15" i="29"/>
  <c r="H15" i="29"/>
  <c r="I15" i="29"/>
  <c r="J15" i="29"/>
  <c r="L15" i="29"/>
  <c r="M15" i="29"/>
  <c r="O15" i="29"/>
  <c r="P15" i="29"/>
  <c r="Q15" i="29"/>
  <c r="R15" i="29"/>
  <c r="C15" i="29"/>
  <c r="D11" i="29"/>
  <c r="E11" i="29"/>
  <c r="F11" i="29"/>
  <c r="G11" i="29"/>
  <c r="H11" i="29"/>
  <c r="I11" i="29"/>
  <c r="J11" i="29"/>
  <c r="L11" i="29"/>
  <c r="M11" i="29"/>
  <c r="O11" i="29"/>
  <c r="P11" i="29"/>
  <c r="Q11" i="29"/>
  <c r="R11" i="29"/>
  <c r="S11" i="29"/>
  <c r="T11" i="29"/>
  <c r="C11" i="29"/>
  <c r="S8" i="29"/>
  <c r="S9" i="29"/>
  <c r="S10" i="29"/>
  <c r="S12" i="29"/>
  <c r="S15" i="29" s="1"/>
  <c r="S13" i="29"/>
  <c r="S14" i="29"/>
  <c r="S16" i="29"/>
  <c r="S17" i="29"/>
  <c r="S18" i="29"/>
  <c r="S19" i="29" s="1"/>
  <c r="S20" i="29"/>
  <c r="S21" i="29"/>
  <c r="S22" i="29"/>
  <c r="S23" i="29"/>
  <c r="S26" i="29"/>
  <c r="S27" i="29"/>
  <c r="S29" i="29"/>
  <c r="S30" i="29"/>
  <c r="S31" i="29"/>
  <c r="S32" i="29"/>
  <c r="S34" i="29"/>
  <c r="S35" i="29"/>
  <c r="S36" i="29"/>
  <c r="S37" i="29"/>
  <c r="S40" i="29"/>
  <c r="S41" i="29"/>
  <c r="S42" i="29"/>
  <c r="S43" i="29"/>
  <c r="S45" i="29"/>
  <c r="S46" i="29"/>
  <c r="S47" i="29"/>
  <c r="S48" i="29"/>
  <c r="S7" i="29"/>
  <c r="Q8" i="29"/>
  <c r="Q9" i="29"/>
  <c r="Q10" i="29"/>
  <c r="Q12" i="29"/>
  <c r="Q13" i="29"/>
  <c r="Q14" i="29"/>
  <c r="Q16" i="29"/>
  <c r="Q17" i="29"/>
  <c r="Q18" i="29"/>
  <c r="Q19" i="29" s="1"/>
  <c r="Q25" i="29" s="1"/>
  <c r="Q20" i="29"/>
  <c r="Q21" i="29"/>
  <c r="Q22" i="29"/>
  <c r="Q23" i="29"/>
  <c r="Q26" i="29"/>
  <c r="Q28" i="29" s="1"/>
  <c r="Q39" i="29" s="1"/>
  <c r="Q27" i="29"/>
  <c r="Q29" i="29"/>
  <c r="Q30" i="29"/>
  <c r="Q31" i="29"/>
  <c r="Q32" i="29"/>
  <c r="Q34" i="29"/>
  <c r="Q35" i="29"/>
  <c r="Q36" i="29"/>
  <c r="Q37" i="29"/>
  <c r="Q40" i="29"/>
  <c r="Q41" i="29"/>
  <c r="Q42" i="29"/>
  <c r="Q43" i="29"/>
  <c r="Q45" i="29"/>
  <c r="Q46" i="29"/>
  <c r="Q47" i="29"/>
  <c r="Q48" i="29"/>
  <c r="Q7" i="29"/>
  <c r="M8" i="29"/>
  <c r="M9" i="29"/>
  <c r="M10" i="29"/>
  <c r="M12" i="29"/>
  <c r="M13" i="29"/>
  <c r="M14" i="29"/>
  <c r="M16" i="29"/>
  <c r="M17" i="29"/>
  <c r="M18" i="29"/>
  <c r="M20" i="29"/>
  <c r="M21" i="29"/>
  <c r="M22" i="29"/>
  <c r="M23" i="29"/>
  <c r="M26" i="29"/>
  <c r="M27" i="29"/>
  <c r="M29" i="29"/>
  <c r="M30" i="29"/>
  <c r="M31" i="29"/>
  <c r="M32" i="29"/>
  <c r="M34" i="29"/>
  <c r="M35" i="29"/>
  <c r="M36" i="29"/>
  <c r="M37" i="29"/>
  <c r="M40" i="29"/>
  <c r="M41" i="29"/>
  <c r="M42" i="29"/>
  <c r="M43" i="29"/>
  <c r="M45" i="29"/>
  <c r="M46" i="29"/>
  <c r="M47" i="29"/>
  <c r="M48" i="29"/>
  <c r="M7" i="29"/>
  <c r="K8" i="29"/>
  <c r="K9" i="29"/>
  <c r="K10" i="29"/>
  <c r="K12" i="29"/>
  <c r="K13" i="29"/>
  <c r="K14" i="29"/>
  <c r="K16" i="29"/>
  <c r="K17" i="29"/>
  <c r="K18" i="29"/>
  <c r="K20" i="29"/>
  <c r="K21" i="29"/>
  <c r="K22" i="29"/>
  <c r="K23" i="29"/>
  <c r="K26" i="29"/>
  <c r="K27" i="29"/>
  <c r="K29" i="29"/>
  <c r="K30" i="29"/>
  <c r="K31" i="29"/>
  <c r="K32" i="29"/>
  <c r="K34" i="29"/>
  <c r="K38" i="29" s="1"/>
  <c r="K35" i="29"/>
  <c r="K36" i="29"/>
  <c r="K37" i="29"/>
  <c r="K40" i="29"/>
  <c r="K41" i="29"/>
  <c r="K42" i="29"/>
  <c r="K43" i="29"/>
  <c r="K45" i="29"/>
  <c r="K49" i="29" s="1"/>
  <c r="K50" i="29" s="1"/>
  <c r="K46" i="29"/>
  <c r="K47" i="29"/>
  <c r="K48" i="29"/>
  <c r="K7" i="29"/>
  <c r="G8" i="29"/>
  <c r="G9" i="29"/>
  <c r="G10" i="29"/>
  <c r="G12" i="29"/>
  <c r="G13" i="29"/>
  <c r="G14" i="29"/>
  <c r="G16" i="29"/>
  <c r="G19" i="29" s="1"/>
  <c r="G25" i="29" s="1"/>
  <c r="G51" i="29" s="1"/>
  <c r="G17" i="29"/>
  <c r="G18" i="29"/>
  <c r="G20" i="29"/>
  <c r="G21" i="29"/>
  <c r="G22" i="29"/>
  <c r="G23" i="29"/>
  <c r="G26" i="29"/>
  <c r="G27" i="29"/>
  <c r="G29" i="29"/>
  <c r="G30" i="29"/>
  <c r="G31" i="29"/>
  <c r="G32" i="29"/>
  <c r="G34" i="29"/>
  <c r="G35" i="29"/>
  <c r="G36" i="29"/>
  <c r="G37" i="29"/>
  <c r="G40" i="29"/>
  <c r="G41" i="29"/>
  <c r="G42" i="29"/>
  <c r="G43" i="29"/>
  <c r="G45" i="29"/>
  <c r="G46" i="29"/>
  <c r="G47" i="29"/>
  <c r="G48" i="29"/>
  <c r="G7" i="29"/>
  <c r="E8" i="29"/>
  <c r="E9" i="29"/>
  <c r="E10" i="29"/>
  <c r="E12" i="29"/>
  <c r="E13" i="29"/>
  <c r="E14" i="29"/>
  <c r="E16" i="29"/>
  <c r="E17" i="29"/>
  <c r="E18" i="29"/>
  <c r="E20" i="29"/>
  <c r="E21" i="29"/>
  <c r="E22" i="29"/>
  <c r="E23" i="29"/>
  <c r="E26" i="29"/>
  <c r="E27" i="29"/>
  <c r="E29" i="29"/>
  <c r="E30" i="29"/>
  <c r="E31" i="29"/>
  <c r="E32" i="29"/>
  <c r="E34" i="29"/>
  <c r="E35" i="29"/>
  <c r="E36" i="29"/>
  <c r="E37" i="29"/>
  <c r="E40" i="29"/>
  <c r="E41" i="29"/>
  <c r="E42" i="29"/>
  <c r="E43" i="29"/>
  <c r="E45" i="29"/>
  <c r="E46" i="29"/>
  <c r="E47" i="29"/>
  <c r="E48" i="29"/>
  <c r="E7" i="29"/>
  <c r="O8" i="29"/>
  <c r="O9" i="29"/>
  <c r="O10" i="29"/>
  <c r="O12" i="29"/>
  <c r="O13" i="29"/>
  <c r="O14" i="29"/>
  <c r="O16" i="29"/>
  <c r="O17" i="29"/>
  <c r="O18" i="29"/>
  <c r="O20" i="29"/>
  <c r="O21" i="29"/>
  <c r="O22" i="29"/>
  <c r="O23" i="29"/>
  <c r="O26" i="29"/>
  <c r="O27" i="29"/>
  <c r="O29" i="29"/>
  <c r="O30" i="29"/>
  <c r="O31" i="29"/>
  <c r="O32" i="29"/>
  <c r="O34" i="29"/>
  <c r="O35" i="29"/>
  <c r="O36" i="29"/>
  <c r="O37" i="29"/>
  <c r="O40" i="29"/>
  <c r="O41" i="29"/>
  <c r="O42" i="29"/>
  <c r="O43" i="29"/>
  <c r="O45" i="29"/>
  <c r="O46" i="29"/>
  <c r="T46" i="29" s="1"/>
  <c r="O47" i="29"/>
  <c r="O48" i="29"/>
  <c r="O7" i="29"/>
  <c r="I8" i="29"/>
  <c r="I9" i="29"/>
  <c r="I10" i="29"/>
  <c r="I12" i="29"/>
  <c r="I13" i="29"/>
  <c r="I14" i="29"/>
  <c r="I16" i="29"/>
  <c r="I17" i="29"/>
  <c r="I18" i="29"/>
  <c r="I20" i="29"/>
  <c r="I21" i="29"/>
  <c r="I22" i="29"/>
  <c r="I23" i="29"/>
  <c r="I26" i="29"/>
  <c r="I27" i="29"/>
  <c r="I29" i="29"/>
  <c r="I30" i="29"/>
  <c r="I31" i="29"/>
  <c r="I32" i="29"/>
  <c r="I34" i="29"/>
  <c r="I35" i="29"/>
  <c r="I36" i="29"/>
  <c r="I37" i="29"/>
  <c r="I40" i="29"/>
  <c r="I41" i="29"/>
  <c r="I42" i="29"/>
  <c r="N42" i="29" s="1"/>
  <c r="I43" i="29"/>
  <c r="I45" i="29"/>
  <c r="I46" i="29"/>
  <c r="I47" i="29"/>
  <c r="I48" i="29"/>
  <c r="I7" i="29"/>
  <c r="C8" i="29"/>
  <c r="C9" i="29"/>
  <c r="C10" i="29"/>
  <c r="H10" i="29" s="1"/>
  <c r="C12" i="29"/>
  <c r="C13" i="29"/>
  <c r="C14" i="29"/>
  <c r="C16" i="29"/>
  <c r="C17" i="29"/>
  <c r="C18" i="29"/>
  <c r="H18" i="29" s="1"/>
  <c r="C20" i="29"/>
  <c r="C21" i="29"/>
  <c r="C22" i="29"/>
  <c r="C23" i="29"/>
  <c r="C26" i="29"/>
  <c r="C27" i="29"/>
  <c r="C29" i="29"/>
  <c r="C30" i="29"/>
  <c r="C31" i="29"/>
  <c r="H31" i="29" s="1"/>
  <c r="C32" i="29"/>
  <c r="C34" i="29"/>
  <c r="H34" i="29" s="1"/>
  <c r="C35" i="29"/>
  <c r="H35" i="29" s="1"/>
  <c r="C36" i="29"/>
  <c r="C37" i="29"/>
  <c r="H37" i="29" s="1"/>
  <c r="C40" i="29"/>
  <c r="C41" i="29"/>
  <c r="C42" i="29"/>
  <c r="H42" i="29" s="1"/>
  <c r="C43" i="29"/>
  <c r="C45" i="29"/>
  <c r="C46" i="29"/>
  <c r="C47" i="29"/>
  <c r="H47" i="29" s="1"/>
  <c r="C48" i="29"/>
  <c r="C7" i="29"/>
  <c r="H64" i="29"/>
  <c r="T48" i="29"/>
  <c r="N48" i="29"/>
  <c r="H48" i="29"/>
  <c r="T47" i="29"/>
  <c r="N47" i="29"/>
  <c r="N46" i="29"/>
  <c r="H46" i="29"/>
  <c r="T45" i="29"/>
  <c r="T49" i="29" s="1"/>
  <c r="N45" i="29"/>
  <c r="N49" i="29" s="1"/>
  <c r="N50" i="29" s="1"/>
  <c r="T43" i="29"/>
  <c r="N43" i="29"/>
  <c r="H43" i="29"/>
  <c r="T42" i="29"/>
  <c r="T41" i="29"/>
  <c r="N41" i="29"/>
  <c r="H41" i="29"/>
  <c r="V39" i="29"/>
  <c r="T37" i="29"/>
  <c r="N37" i="29"/>
  <c r="T36" i="29"/>
  <c r="N36" i="29"/>
  <c r="H36" i="29"/>
  <c r="U36" i="29" s="1"/>
  <c r="N35" i="29"/>
  <c r="T34" i="29"/>
  <c r="N34" i="29"/>
  <c r="N38" i="29" s="1"/>
  <c r="T32" i="29"/>
  <c r="N32" i="29"/>
  <c r="H32" i="29"/>
  <c r="U32" i="29" s="1"/>
  <c r="T31" i="29"/>
  <c r="N31" i="29"/>
  <c r="T30" i="29"/>
  <c r="N30" i="29"/>
  <c r="H29" i="29"/>
  <c r="T27" i="29"/>
  <c r="N27" i="29"/>
  <c r="H27" i="29"/>
  <c r="H28" i="29" s="1"/>
  <c r="T26" i="29"/>
  <c r="T28" i="29" s="1"/>
  <c r="T39" i="29" s="1"/>
  <c r="N26" i="29"/>
  <c r="H26" i="29"/>
  <c r="T23" i="29"/>
  <c r="N23" i="29"/>
  <c r="H23" i="29"/>
  <c r="U23" i="29" s="1"/>
  <c r="T22" i="29"/>
  <c r="N22" i="29"/>
  <c r="H22" i="29"/>
  <c r="T21" i="29"/>
  <c r="N21" i="29"/>
  <c r="H21" i="29"/>
  <c r="T18" i="29"/>
  <c r="N18" i="29"/>
  <c r="T17" i="29"/>
  <c r="N17" i="29"/>
  <c r="H17" i="29"/>
  <c r="N16" i="29"/>
  <c r="T14" i="29"/>
  <c r="N14" i="29"/>
  <c r="H14" i="29"/>
  <c r="T12" i="29"/>
  <c r="T15" i="29" s="1"/>
  <c r="N12" i="29"/>
  <c r="H12" i="29"/>
  <c r="T10" i="29"/>
  <c r="N10" i="29"/>
  <c r="T9" i="29"/>
  <c r="N9" i="29"/>
  <c r="H9" i="29"/>
  <c r="T8" i="29"/>
  <c r="N8" i="29"/>
  <c r="H8" i="29"/>
  <c r="T7" i="29"/>
  <c r="H7" i="29"/>
  <c r="K24" i="29" l="1"/>
  <c r="Q44" i="29"/>
  <c r="Q50" i="29" s="1"/>
  <c r="Q51" i="29" s="1"/>
  <c r="H38" i="29"/>
  <c r="E38" i="29"/>
  <c r="R25" i="29"/>
  <c r="R51" i="29" s="1"/>
  <c r="T19" i="29"/>
  <c r="T25" i="29" s="1"/>
  <c r="S25" i="29"/>
  <c r="S51" i="29" s="1"/>
  <c r="K19" i="29"/>
  <c r="N19" i="29"/>
  <c r="E19" i="29"/>
  <c r="E25" i="29" s="1"/>
  <c r="N15" i="29"/>
  <c r="K15" i="29"/>
  <c r="J25" i="29"/>
  <c r="P51" i="29"/>
  <c r="E49" i="29"/>
  <c r="E44" i="29"/>
  <c r="E50" i="29" s="1"/>
  <c r="K33" i="29"/>
  <c r="J39" i="29"/>
  <c r="E33" i="29"/>
  <c r="D39" i="29"/>
  <c r="D51" i="29" s="1"/>
  <c r="U26" i="29"/>
  <c r="K28" i="29"/>
  <c r="N28" i="29"/>
  <c r="N39" i="29" s="1"/>
  <c r="E28" i="29"/>
  <c r="E39" i="29" s="1"/>
  <c r="N11" i="29"/>
  <c r="K11" i="29"/>
  <c r="K25" i="29" s="1"/>
  <c r="U42" i="29"/>
  <c r="U37" i="29"/>
  <c r="U46" i="29"/>
  <c r="U22" i="29"/>
  <c r="U27" i="29"/>
  <c r="U31" i="29"/>
  <c r="U41" i="29"/>
  <c r="U18" i="29"/>
  <c r="U17" i="29"/>
  <c r="U14" i="29"/>
  <c r="U10" i="29"/>
  <c r="U9" i="29"/>
  <c r="U8" i="29"/>
  <c r="U11" i="29" s="1"/>
  <c r="N7" i="29"/>
  <c r="U21" i="29"/>
  <c r="H16" i="29"/>
  <c r="H19" i="29" s="1"/>
  <c r="H25" i="29" s="1"/>
  <c r="U43" i="29"/>
  <c r="U47" i="29"/>
  <c r="U48" i="29"/>
  <c r="U12" i="29"/>
  <c r="H13" i="29"/>
  <c r="N13" i="29"/>
  <c r="T13" i="29"/>
  <c r="H20" i="29"/>
  <c r="N20" i="29"/>
  <c r="N24" i="29" s="1"/>
  <c r="T20" i="29"/>
  <c r="N29" i="29"/>
  <c r="N33" i="29" s="1"/>
  <c r="T29" i="29"/>
  <c r="U34" i="29"/>
  <c r="H40" i="29"/>
  <c r="H44" i="29" s="1"/>
  <c r="N40" i="29"/>
  <c r="T40" i="29"/>
  <c r="T44" i="29" s="1"/>
  <c r="T50" i="29" s="1"/>
  <c r="T16" i="29"/>
  <c r="H30" i="29"/>
  <c r="U30" i="29" s="1"/>
  <c r="T35" i="29"/>
  <c r="H45" i="29"/>
  <c r="H49" i="29" s="1"/>
  <c r="O23" i="17"/>
  <c r="N23" i="17"/>
  <c r="K23" i="17"/>
  <c r="J23" i="17"/>
  <c r="G23" i="17"/>
  <c r="F23" i="17"/>
  <c r="T51" i="29" l="1"/>
  <c r="N25" i="29"/>
  <c r="N51" i="29" s="1"/>
  <c r="J51" i="29"/>
  <c r="E51" i="29"/>
  <c r="H50" i="29"/>
  <c r="K39" i="29"/>
  <c r="K51" i="29" s="1"/>
  <c r="H33" i="29"/>
  <c r="H39" i="29" s="1"/>
  <c r="U28" i="29"/>
  <c r="U29" i="29"/>
  <c r="U33" i="29" s="1"/>
  <c r="U7" i="29"/>
  <c r="U20" i="29"/>
  <c r="U24" i="29" s="1"/>
  <c r="U13" i="29"/>
  <c r="U15" i="29" s="1"/>
  <c r="U35" i="29"/>
  <c r="U38" i="29" s="1"/>
  <c r="U16" i="29"/>
  <c r="U19" i="29" s="1"/>
  <c r="U45" i="29"/>
  <c r="U49" i="29" s="1"/>
  <c r="U40" i="29"/>
  <c r="U44" i="29" s="1"/>
  <c r="J45" i="28"/>
  <c r="D41" i="28"/>
  <c r="D43" i="28"/>
  <c r="D37" i="28"/>
  <c r="D35" i="28"/>
  <c r="D29" i="28"/>
  <c r="U25" i="29" l="1"/>
  <c r="H51" i="29"/>
  <c r="U50" i="29"/>
  <c r="U39" i="29"/>
  <c r="J53" i="29"/>
  <c r="C29" i="28"/>
  <c r="D18" i="28"/>
  <c r="U51" i="29" l="1"/>
  <c r="H63" i="29"/>
  <c r="M59" i="29"/>
  <c r="H62" i="29"/>
  <c r="I63" i="29"/>
  <c r="M57" i="29"/>
  <c r="H59" i="29"/>
  <c r="O58" i="29"/>
  <c r="M60" i="29"/>
  <c r="N56" i="29"/>
  <c r="N58" i="29"/>
  <c r="I51" i="28"/>
  <c r="O51" i="28"/>
  <c r="F50" i="28"/>
  <c r="G50" i="28"/>
  <c r="I50" i="28"/>
  <c r="L50" i="28"/>
  <c r="M50" i="28"/>
  <c r="O50" i="28"/>
  <c r="R50" i="28"/>
  <c r="S50" i="28"/>
  <c r="C50" i="28"/>
  <c r="D49" i="28"/>
  <c r="F49" i="28"/>
  <c r="G49" i="28"/>
  <c r="I49" i="28"/>
  <c r="J49" i="28"/>
  <c r="J50" i="28" s="1"/>
  <c r="L49" i="28"/>
  <c r="M49" i="28"/>
  <c r="O49" i="28"/>
  <c r="P49" i="28"/>
  <c r="R49" i="28"/>
  <c r="S49" i="28"/>
  <c r="C49" i="28"/>
  <c r="D44" i="28"/>
  <c r="F44" i="28"/>
  <c r="G44" i="28"/>
  <c r="I44" i="28"/>
  <c r="J44" i="28"/>
  <c r="K44" i="28"/>
  <c r="L44" i="28"/>
  <c r="M44" i="28"/>
  <c r="N44" i="28"/>
  <c r="O44" i="28"/>
  <c r="P44" i="28"/>
  <c r="P50" i="28" s="1"/>
  <c r="R44" i="28"/>
  <c r="S44" i="28"/>
  <c r="C44" i="28"/>
  <c r="I39" i="28"/>
  <c r="L39" i="28"/>
  <c r="M39" i="28"/>
  <c r="O39" i="28"/>
  <c r="P39" i="28"/>
  <c r="Q39" i="28"/>
  <c r="R39" i="28"/>
  <c r="S39" i="28"/>
  <c r="T39" i="28"/>
  <c r="D38" i="28"/>
  <c r="F38" i="28"/>
  <c r="F39" i="28" s="1"/>
  <c r="I38" i="28"/>
  <c r="J38" i="28"/>
  <c r="L38" i="28"/>
  <c r="M38" i="28"/>
  <c r="O38" i="28"/>
  <c r="P38" i="28"/>
  <c r="Q38" i="28"/>
  <c r="R38" i="28"/>
  <c r="S38" i="28"/>
  <c r="T38" i="28"/>
  <c r="C38" i="28"/>
  <c r="D33" i="28"/>
  <c r="F33" i="28"/>
  <c r="G33" i="28"/>
  <c r="I33" i="28"/>
  <c r="J33" i="28"/>
  <c r="L33" i="28"/>
  <c r="M33" i="28"/>
  <c r="O33" i="28"/>
  <c r="P33" i="28"/>
  <c r="Q33" i="28"/>
  <c r="R33" i="28"/>
  <c r="S33" i="28"/>
  <c r="T33" i="28"/>
  <c r="C33" i="28"/>
  <c r="C39" i="28" s="1"/>
  <c r="C51" i="28" s="1"/>
  <c r="D28" i="28"/>
  <c r="F28" i="28"/>
  <c r="G28" i="28"/>
  <c r="I28" i="28"/>
  <c r="J28" i="28"/>
  <c r="L28" i="28"/>
  <c r="M28" i="28"/>
  <c r="O28" i="28"/>
  <c r="P28" i="28"/>
  <c r="Q28" i="28"/>
  <c r="R28" i="28"/>
  <c r="S28" i="28"/>
  <c r="T28" i="28"/>
  <c r="C28" i="28"/>
  <c r="I25" i="28"/>
  <c r="O25" i="28"/>
  <c r="C25" i="28"/>
  <c r="D24" i="28"/>
  <c r="E24" i="28"/>
  <c r="F24" i="28"/>
  <c r="G24" i="28"/>
  <c r="H24" i="28"/>
  <c r="I24" i="28"/>
  <c r="J24" i="28"/>
  <c r="L24" i="28"/>
  <c r="M24" i="28"/>
  <c r="O24" i="28"/>
  <c r="P24" i="28"/>
  <c r="Q24" i="28"/>
  <c r="R24" i="28"/>
  <c r="S24" i="28"/>
  <c r="T24" i="28"/>
  <c r="C24" i="28"/>
  <c r="D19" i="28"/>
  <c r="D25" i="28" s="1"/>
  <c r="F19" i="28"/>
  <c r="I19" i="28"/>
  <c r="J19" i="28"/>
  <c r="L19" i="28"/>
  <c r="L25" i="28" s="1"/>
  <c r="L51" i="28" s="1"/>
  <c r="O19" i="28"/>
  <c r="P19" i="28"/>
  <c r="P25" i="28" s="1"/>
  <c r="R19" i="28"/>
  <c r="S19" i="28"/>
  <c r="C19" i="28"/>
  <c r="D15" i="28"/>
  <c r="E15" i="28"/>
  <c r="F15" i="28"/>
  <c r="I15" i="28"/>
  <c r="J15" i="28"/>
  <c r="L15" i="28"/>
  <c r="M15" i="28"/>
  <c r="O15" i="28"/>
  <c r="P15" i="28"/>
  <c r="Q15" i="28"/>
  <c r="R15" i="28"/>
  <c r="R25" i="28" s="1"/>
  <c r="R51" i="28" s="1"/>
  <c r="C15" i="28"/>
  <c r="D11" i="28"/>
  <c r="E11" i="28"/>
  <c r="F11" i="28"/>
  <c r="I11" i="28"/>
  <c r="J11" i="28"/>
  <c r="L11" i="28"/>
  <c r="M11" i="28"/>
  <c r="O11" i="28"/>
  <c r="P11" i="28"/>
  <c r="Q11" i="28"/>
  <c r="R11" i="28"/>
  <c r="S11" i="28"/>
  <c r="T11" i="28"/>
  <c r="C11" i="28"/>
  <c r="J55" i="29" l="1"/>
  <c r="H60" i="29"/>
  <c r="P51" i="28"/>
  <c r="D50" i="28"/>
  <c r="D51" i="28" s="1"/>
  <c r="J39" i="28"/>
  <c r="D39" i="28"/>
  <c r="F25" i="28"/>
  <c r="F51" i="28" s="1"/>
  <c r="J25" i="28"/>
  <c r="J51" i="28" s="1"/>
  <c r="S8" i="28"/>
  <c r="S9" i="28"/>
  <c r="S10" i="28"/>
  <c r="S12" i="28"/>
  <c r="S15" i="28" s="1"/>
  <c r="S25" i="28" s="1"/>
  <c r="S51" i="28" s="1"/>
  <c r="S13" i="28"/>
  <c r="S14" i="28"/>
  <c r="S16" i="28"/>
  <c r="S17" i="28"/>
  <c r="S18" i="28"/>
  <c r="S20" i="28"/>
  <c r="S21" i="28"/>
  <c r="S22" i="28"/>
  <c r="S23" i="28"/>
  <c r="S26" i="28"/>
  <c r="S27" i="28"/>
  <c r="S29" i="28"/>
  <c r="S30" i="28"/>
  <c r="S31" i="28"/>
  <c r="S32" i="28"/>
  <c r="S34" i="28"/>
  <c r="S35" i="28"/>
  <c r="S36" i="28"/>
  <c r="S37" i="28"/>
  <c r="S40" i="28"/>
  <c r="S41" i="28"/>
  <c r="S42" i="28"/>
  <c r="S43" i="28"/>
  <c r="S45" i="28"/>
  <c r="S46" i="28"/>
  <c r="S47" i="28"/>
  <c r="S48" i="28"/>
  <c r="S7" i="28"/>
  <c r="Q8" i="28"/>
  <c r="Q9" i="28"/>
  <c r="Q10" i="28"/>
  <c r="Q12" i="28"/>
  <c r="Q13" i="28"/>
  <c r="Q14" i="28"/>
  <c r="Q16" i="28"/>
  <c r="Q17" i="28"/>
  <c r="Q18" i="28"/>
  <c r="Q19" i="28" s="1"/>
  <c r="Q25" i="28" s="1"/>
  <c r="Q20" i="28"/>
  <c r="Q21" i="28"/>
  <c r="Q22" i="28"/>
  <c r="Q23" i="28"/>
  <c r="Q26" i="28"/>
  <c r="Q27" i="28"/>
  <c r="Q29" i="28"/>
  <c r="Q30" i="28"/>
  <c r="Q31" i="28"/>
  <c r="Q32" i="28"/>
  <c r="Q34" i="28"/>
  <c r="Q35" i="28"/>
  <c r="Q36" i="28"/>
  <c r="Q37" i="28"/>
  <c r="Q40" i="28"/>
  <c r="Q41" i="28"/>
  <c r="Q42" i="28"/>
  <c r="Q43" i="28"/>
  <c r="Q45" i="28"/>
  <c r="Q46" i="28"/>
  <c r="Q47" i="28"/>
  <c r="Q49" i="28" s="1"/>
  <c r="Q48" i="28"/>
  <c r="Q7" i="28"/>
  <c r="M8" i="28"/>
  <c r="M9" i="28"/>
  <c r="M10" i="28"/>
  <c r="M12" i="28"/>
  <c r="M13" i="28"/>
  <c r="M14" i="28"/>
  <c r="M16" i="28"/>
  <c r="M17" i="28"/>
  <c r="M18" i="28"/>
  <c r="M19" i="28" s="1"/>
  <c r="M25" i="28" s="1"/>
  <c r="M51" i="28" s="1"/>
  <c r="M20" i="28"/>
  <c r="M21" i="28"/>
  <c r="M22" i="28"/>
  <c r="M23" i="28"/>
  <c r="M26" i="28"/>
  <c r="M27" i="28"/>
  <c r="M29" i="28"/>
  <c r="M30" i="28"/>
  <c r="M31" i="28"/>
  <c r="M32" i="28"/>
  <c r="M34" i="28"/>
  <c r="M35" i="28"/>
  <c r="M36" i="28"/>
  <c r="M37" i="28"/>
  <c r="M40" i="28"/>
  <c r="M41" i="28"/>
  <c r="M42" i="28"/>
  <c r="M43" i="28"/>
  <c r="M45" i="28"/>
  <c r="M46" i="28"/>
  <c r="M47" i="28"/>
  <c r="M48" i="28"/>
  <c r="M7" i="28"/>
  <c r="K8" i="28"/>
  <c r="K9" i="28"/>
  <c r="K10" i="28"/>
  <c r="K12" i="28"/>
  <c r="K13" i="28"/>
  <c r="K14" i="28"/>
  <c r="K16" i="28"/>
  <c r="K17" i="28"/>
  <c r="K18" i="28"/>
  <c r="K20" i="28"/>
  <c r="K21" i="28"/>
  <c r="K22" i="28"/>
  <c r="K23" i="28"/>
  <c r="K26" i="28"/>
  <c r="K27" i="28"/>
  <c r="K29" i="28"/>
  <c r="K30" i="28"/>
  <c r="K31" i="28"/>
  <c r="K32" i="28"/>
  <c r="K34" i="28"/>
  <c r="K38" i="28" s="1"/>
  <c r="K35" i="28"/>
  <c r="K36" i="28"/>
  <c r="K37" i="28"/>
  <c r="K40" i="28"/>
  <c r="K41" i="28"/>
  <c r="K42" i="28"/>
  <c r="K43" i="28"/>
  <c r="K45" i="28"/>
  <c r="K49" i="28" s="1"/>
  <c r="K50" i="28" s="1"/>
  <c r="K46" i="28"/>
  <c r="K47" i="28"/>
  <c r="K48" i="28"/>
  <c r="K7" i="28"/>
  <c r="G8" i="28"/>
  <c r="G9" i="28"/>
  <c r="G10" i="28"/>
  <c r="G12" i="28"/>
  <c r="G15" i="28" s="1"/>
  <c r="G13" i="28"/>
  <c r="G14" i="28"/>
  <c r="G16" i="28"/>
  <c r="G17" i="28"/>
  <c r="G18" i="28"/>
  <c r="G20" i="28"/>
  <c r="G21" i="28"/>
  <c r="G22" i="28"/>
  <c r="G23" i="28"/>
  <c r="G26" i="28"/>
  <c r="G27" i="28"/>
  <c r="G29" i="28"/>
  <c r="G30" i="28"/>
  <c r="G31" i="28"/>
  <c r="G32" i="28"/>
  <c r="G34" i="28"/>
  <c r="G38" i="28" s="1"/>
  <c r="G39" i="28" s="1"/>
  <c r="G35" i="28"/>
  <c r="G36" i="28"/>
  <c r="G37" i="28"/>
  <c r="G40" i="28"/>
  <c r="G41" i="28"/>
  <c r="G42" i="28"/>
  <c r="G43" i="28"/>
  <c r="G45" i="28"/>
  <c r="G46" i="28"/>
  <c r="G47" i="28"/>
  <c r="G48" i="28"/>
  <c r="G7" i="28"/>
  <c r="G11" i="28" s="1"/>
  <c r="E8" i="28"/>
  <c r="E9" i="28"/>
  <c r="E10" i="28"/>
  <c r="E12" i="28"/>
  <c r="E13" i="28"/>
  <c r="E14" i="28"/>
  <c r="E16" i="28"/>
  <c r="E17" i="28"/>
  <c r="E18" i="28"/>
  <c r="E20" i="28"/>
  <c r="E21" i="28"/>
  <c r="E22" i="28"/>
  <c r="E23" i="28"/>
  <c r="E26" i="28"/>
  <c r="E27" i="28"/>
  <c r="E28" i="28" s="1"/>
  <c r="E29" i="28"/>
  <c r="E30" i="28"/>
  <c r="E31" i="28"/>
  <c r="E32" i="28"/>
  <c r="E34" i="28"/>
  <c r="E35" i="28"/>
  <c r="E36" i="28"/>
  <c r="E37" i="28"/>
  <c r="E40" i="28"/>
  <c r="E41" i="28"/>
  <c r="E42" i="28"/>
  <c r="E43" i="28"/>
  <c r="E45" i="28"/>
  <c r="E46" i="28"/>
  <c r="E47" i="28"/>
  <c r="E48" i="28"/>
  <c r="E7" i="28"/>
  <c r="O8" i="28"/>
  <c r="O9" i="28"/>
  <c r="O10" i="28"/>
  <c r="O12" i="28"/>
  <c r="O13" i="28"/>
  <c r="O14" i="28"/>
  <c r="O16" i="28"/>
  <c r="O17" i="28"/>
  <c r="O18" i="28"/>
  <c r="O20" i="28"/>
  <c r="O21" i="28"/>
  <c r="O22" i="28"/>
  <c r="O23" i="28"/>
  <c r="O26" i="28"/>
  <c r="O27" i="28"/>
  <c r="O29" i="28"/>
  <c r="O30" i="28"/>
  <c r="O31" i="28"/>
  <c r="O32" i="28"/>
  <c r="O34" i="28"/>
  <c r="O35" i="28"/>
  <c r="O36" i="28"/>
  <c r="O37" i="28"/>
  <c r="O40" i="28"/>
  <c r="O41" i="28"/>
  <c r="O42" i="28"/>
  <c r="O43" i="28"/>
  <c r="O45" i="28"/>
  <c r="O46" i="28"/>
  <c r="O47" i="28"/>
  <c r="O48" i="28"/>
  <c r="O7" i="28"/>
  <c r="T7" i="28" s="1"/>
  <c r="I8" i="28"/>
  <c r="I9" i="28"/>
  <c r="I10" i="28"/>
  <c r="I12" i="28"/>
  <c r="I13" i="28"/>
  <c r="I14" i="28"/>
  <c r="I16" i="28"/>
  <c r="I17" i="28"/>
  <c r="I18" i="28"/>
  <c r="I20" i="28"/>
  <c r="I21" i="28"/>
  <c r="I22" i="28"/>
  <c r="I23" i="28"/>
  <c r="I26" i="28"/>
  <c r="I27" i="28"/>
  <c r="I29" i="28"/>
  <c r="I30" i="28"/>
  <c r="I31" i="28"/>
  <c r="I32" i="28"/>
  <c r="I34" i="28"/>
  <c r="I35" i="28"/>
  <c r="I36" i="28"/>
  <c r="I37" i="28"/>
  <c r="I40" i="28"/>
  <c r="I41" i="28"/>
  <c r="I42" i="28"/>
  <c r="I43" i="28"/>
  <c r="I45" i="28"/>
  <c r="N45" i="28" s="1"/>
  <c r="N49" i="28" s="1"/>
  <c r="N50" i="28" s="1"/>
  <c r="I46" i="28"/>
  <c r="I47" i="28"/>
  <c r="I48" i="28"/>
  <c r="N48" i="28" s="1"/>
  <c r="I7" i="28"/>
  <c r="C8" i="28"/>
  <c r="C9" i="28"/>
  <c r="C10" i="28"/>
  <c r="C12" i="28"/>
  <c r="C13" i="28"/>
  <c r="C14" i="28"/>
  <c r="C16" i="28"/>
  <c r="C17" i="28"/>
  <c r="C18" i="28"/>
  <c r="C20" i="28"/>
  <c r="C21" i="28"/>
  <c r="C22" i="28"/>
  <c r="C23" i="28"/>
  <c r="C26" i="28"/>
  <c r="C27" i="28"/>
  <c r="C30" i="28"/>
  <c r="C31" i="28"/>
  <c r="C32" i="28"/>
  <c r="C34" i="28"/>
  <c r="C35" i="28"/>
  <c r="C36" i="28"/>
  <c r="C37" i="28"/>
  <c r="C40" i="28"/>
  <c r="C41" i="28"/>
  <c r="C42" i="28"/>
  <c r="C43" i="28"/>
  <c r="C45" i="28"/>
  <c r="C46" i="28"/>
  <c r="H46" i="28" s="1"/>
  <c r="C47" i="28"/>
  <c r="C48" i="28"/>
  <c r="C7" i="28"/>
  <c r="H64" i="28"/>
  <c r="T48" i="28"/>
  <c r="H48" i="28"/>
  <c r="T47" i="28"/>
  <c r="T49" i="28" s="1"/>
  <c r="N47" i="28"/>
  <c r="H47" i="28"/>
  <c r="T46" i="28"/>
  <c r="N46" i="28"/>
  <c r="T45" i="28"/>
  <c r="T43" i="28"/>
  <c r="N43" i="28"/>
  <c r="H43" i="28"/>
  <c r="T42" i="28"/>
  <c r="N42" i="28"/>
  <c r="H42" i="28"/>
  <c r="T41" i="28"/>
  <c r="N41" i="28"/>
  <c r="H41" i="28"/>
  <c r="V39" i="28"/>
  <c r="T37" i="28"/>
  <c r="N37" i="28"/>
  <c r="H37" i="28"/>
  <c r="T36" i="28"/>
  <c r="N36" i="28"/>
  <c r="H36" i="28"/>
  <c r="U36" i="28" s="1"/>
  <c r="N35" i="28"/>
  <c r="T34" i="28"/>
  <c r="N34" i="28"/>
  <c r="N38" i="28" s="1"/>
  <c r="H34" i="28"/>
  <c r="T32" i="28"/>
  <c r="N32" i="28"/>
  <c r="H32" i="28"/>
  <c r="T31" i="28"/>
  <c r="N31" i="28"/>
  <c r="H31" i="28"/>
  <c r="T30" i="28"/>
  <c r="N30" i="28"/>
  <c r="H29" i="28"/>
  <c r="T27" i="28"/>
  <c r="N27" i="28"/>
  <c r="H27" i="28"/>
  <c r="T26" i="28"/>
  <c r="N26" i="28"/>
  <c r="N28" i="28" s="1"/>
  <c r="H26" i="28"/>
  <c r="T23" i="28"/>
  <c r="N23" i="28"/>
  <c r="H23" i="28"/>
  <c r="T22" i="28"/>
  <c r="N22" i="28"/>
  <c r="H22" i="28"/>
  <c r="T21" i="28"/>
  <c r="N21" i="28"/>
  <c r="H20" i="28"/>
  <c r="T18" i="28"/>
  <c r="T19" i="28" s="1"/>
  <c r="N18" i="28"/>
  <c r="H18" i="28"/>
  <c r="T17" i="28"/>
  <c r="N17" i="28"/>
  <c r="H17" i="28"/>
  <c r="T16" i="28"/>
  <c r="N16" i="28"/>
  <c r="H16" i="28"/>
  <c r="H19" i="28" s="1"/>
  <c r="T14" i="28"/>
  <c r="N14" i="28"/>
  <c r="H14" i="28"/>
  <c r="T13" i="28"/>
  <c r="N13" i="28"/>
  <c r="H13" i="28"/>
  <c r="N12" i="28"/>
  <c r="N15" i="28" s="1"/>
  <c r="T10" i="28"/>
  <c r="N10" i="28"/>
  <c r="H10" i="28"/>
  <c r="T9" i="28"/>
  <c r="N9" i="28"/>
  <c r="H9" i="28"/>
  <c r="T8" i="28"/>
  <c r="N8" i="28"/>
  <c r="H8" i="28"/>
  <c r="N7" i="28"/>
  <c r="Q44" i="28" l="1"/>
  <c r="Q50" i="28"/>
  <c r="Q51" i="28"/>
  <c r="N19" i="28"/>
  <c r="G19" i="28"/>
  <c r="G25" i="28" s="1"/>
  <c r="G51" i="28" s="1"/>
  <c r="K33" i="28"/>
  <c r="E33" i="28"/>
  <c r="E49" i="28"/>
  <c r="E44" i="28"/>
  <c r="E50" i="28" s="1"/>
  <c r="E38" i="28"/>
  <c r="K28" i="28"/>
  <c r="K39" i="28" s="1"/>
  <c r="H28" i="28"/>
  <c r="K19" i="28"/>
  <c r="E19" i="28"/>
  <c r="E25" i="28" s="1"/>
  <c r="U9" i="28"/>
  <c r="K11" i="28"/>
  <c r="N11" i="28"/>
  <c r="U14" i="28"/>
  <c r="K15" i="28"/>
  <c r="U22" i="28"/>
  <c r="K24" i="28"/>
  <c r="U27" i="28"/>
  <c r="U32" i="28"/>
  <c r="U13" i="28"/>
  <c r="U8" i="28"/>
  <c r="U17" i="28"/>
  <c r="U41" i="28"/>
  <c r="U42" i="28"/>
  <c r="U43" i="28"/>
  <c r="U47" i="28"/>
  <c r="U46" i="28"/>
  <c r="U37" i="28"/>
  <c r="U31" i="28"/>
  <c r="H7" i="28"/>
  <c r="H11" i="28" s="1"/>
  <c r="U18" i="28"/>
  <c r="U23" i="28"/>
  <c r="U10" i="28"/>
  <c r="N20" i="28"/>
  <c r="N24" i="28" s="1"/>
  <c r="T12" i="28"/>
  <c r="T15" i="28" s="1"/>
  <c r="T25" i="28" s="1"/>
  <c r="U16" i="28"/>
  <c r="H21" i="28"/>
  <c r="T20" i="28"/>
  <c r="H12" i="28"/>
  <c r="H15" i="28" s="1"/>
  <c r="H25" i="28" s="1"/>
  <c r="U48" i="28"/>
  <c r="U26" i="28"/>
  <c r="N29" i="28"/>
  <c r="N33" i="28" s="1"/>
  <c r="N39" i="28" s="1"/>
  <c r="T29" i="28"/>
  <c r="U34" i="28"/>
  <c r="H40" i="28"/>
  <c r="H44" i="28" s="1"/>
  <c r="N40" i="28"/>
  <c r="T40" i="28"/>
  <c r="T44" i="28" s="1"/>
  <c r="T50" i="28" s="1"/>
  <c r="H30" i="28"/>
  <c r="U30" i="28" s="1"/>
  <c r="H35" i="28"/>
  <c r="H38" i="28" s="1"/>
  <c r="T35" i="28"/>
  <c r="H45" i="28"/>
  <c r="H49" i="28" s="1"/>
  <c r="O22" i="17"/>
  <c r="N22" i="17"/>
  <c r="K22" i="17"/>
  <c r="J22" i="17"/>
  <c r="G22" i="17"/>
  <c r="F22" i="17"/>
  <c r="T51" i="28" l="1"/>
  <c r="E39" i="28"/>
  <c r="E51" i="28" s="1"/>
  <c r="H33" i="28"/>
  <c r="H39" i="28" s="1"/>
  <c r="H50" i="28"/>
  <c r="U28" i="28"/>
  <c r="U19" i="28"/>
  <c r="K25" i="28"/>
  <c r="K51" i="28" s="1"/>
  <c r="N25" i="28"/>
  <c r="N51" i="28" s="1"/>
  <c r="U7" i="28"/>
  <c r="U11" i="28" s="1"/>
  <c r="U29" i="28"/>
  <c r="U33" i="28" s="1"/>
  <c r="U45" i="28"/>
  <c r="U49" i="28" s="1"/>
  <c r="U21" i="28"/>
  <c r="U20" i="28"/>
  <c r="U35" i="28"/>
  <c r="U38" i="28" s="1"/>
  <c r="U12" i="28"/>
  <c r="U15" i="28" s="1"/>
  <c r="U40" i="28"/>
  <c r="U44" i="28" s="1"/>
  <c r="D41" i="27"/>
  <c r="D43" i="27"/>
  <c r="D37" i="27"/>
  <c r="D29" i="27"/>
  <c r="D35" i="27"/>
  <c r="J45" i="27"/>
  <c r="U50" i="28" l="1"/>
  <c r="H51" i="28"/>
  <c r="U39" i="28"/>
  <c r="U24" i="28"/>
  <c r="U25" i="28" s="1"/>
  <c r="J53" i="28"/>
  <c r="O60" i="28" s="1"/>
  <c r="J54" i="28"/>
  <c r="R51" i="27"/>
  <c r="D49" i="27"/>
  <c r="F49" i="27"/>
  <c r="F50" i="27" s="1"/>
  <c r="J49" i="27"/>
  <c r="J50" i="27" s="1"/>
  <c r="L49" i="27"/>
  <c r="L50" i="27" s="1"/>
  <c r="P49" i="27"/>
  <c r="P50" i="27" s="1"/>
  <c r="R49" i="27"/>
  <c r="R50" i="27" s="1"/>
  <c r="D44" i="27"/>
  <c r="F44" i="27"/>
  <c r="J44" i="27"/>
  <c r="L44" i="27"/>
  <c r="P44" i="27"/>
  <c r="R44" i="27"/>
  <c r="F39" i="27"/>
  <c r="R39" i="27"/>
  <c r="D38" i="27"/>
  <c r="F38" i="27"/>
  <c r="J38" i="27"/>
  <c r="L38" i="27"/>
  <c r="P38" i="27"/>
  <c r="R38" i="27"/>
  <c r="D33" i="27"/>
  <c r="F33" i="27"/>
  <c r="J33" i="27"/>
  <c r="L33" i="27"/>
  <c r="L39" i="27" s="1"/>
  <c r="P33" i="27"/>
  <c r="P39" i="27" s="1"/>
  <c r="R33" i="27"/>
  <c r="D28" i="27"/>
  <c r="F28" i="27"/>
  <c r="J28" i="27"/>
  <c r="J39" i="27" s="1"/>
  <c r="L28" i="27"/>
  <c r="P28" i="27"/>
  <c r="R28" i="27"/>
  <c r="D24" i="27"/>
  <c r="F24" i="27"/>
  <c r="J24" i="27"/>
  <c r="L24" i="27"/>
  <c r="P24" i="27"/>
  <c r="R24" i="27"/>
  <c r="D19" i="27"/>
  <c r="D25" i="27" s="1"/>
  <c r="F19" i="27"/>
  <c r="J19" i="27"/>
  <c r="L19" i="27"/>
  <c r="P19" i="27"/>
  <c r="R19" i="27"/>
  <c r="D15" i="27"/>
  <c r="F15" i="27"/>
  <c r="J15" i="27"/>
  <c r="L15" i="27"/>
  <c r="P15" i="27"/>
  <c r="R15" i="27"/>
  <c r="D11" i="27"/>
  <c r="F11" i="27"/>
  <c r="F25" i="27" s="1"/>
  <c r="J11" i="27"/>
  <c r="J25" i="27" s="1"/>
  <c r="L11" i="27"/>
  <c r="P11" i="27"/>
  <c r="R11" i="27"/>
  <c r="R25" i="27" s="1"/>
  <c r="H64" i="27"/>
  <c r="V39" i="27"/>
  <c r="U51" i="28" l="1"/>
  <c r="I63" i="28"/>
  <c r="N58" i="28"/>
  <c r="M57" i="28"/>
  <c r="H63" i="28"/>
  <c r="N56" i="28"/>
  <c r="M59" i="28"/>
  <c r="O58" i="28"/>
  <c r="H59" i="28"/>
  <c r="H62" i="28"/>
  <c r="M60" i="28"/>
  <c r="D50" i="27"/>
  <c r="J51" i="27"/>
  <c r="D39" i="27"/>
  <c r="L25" i="27"/>
  <c r="F51" i="27"/>
  <c r="L51" i="27"/>
  <c r="P25" i="27"/>
  <c r="P51" i="27"/>
  <c r="D29" i="26"/>
  <c r="J45" i="26"/>
  <c r="J55" i="28" l="1"/>
  <c r="H60" i="28"/>
  <c r="D51" i="27"/>
  <c r="J12" i="26"/>
  <c r="J53" i="27" l="1"/>
  <c r="N56" i="27" s="1"/>
  <c r="D49" i="26"/>
  <c r="F49" i="26"/>
  <c r="F50" i="26" s="1"/>
  <c r="J49" i="26"/>
  <c r="L49" i="26"/>
  <c r="P49" i="26"/>
  <c r="R49" i="26"/>
  <c r="R50" i="26" s="1"/>
  <c r="D44" i="26"/>
  <c r="F44" i="26"/>
  <c r="J44" i="26"/>
  <c r="L44" i="26"/>
  <c r="L50" i="26" s="1"/>
  <c r="P44" i="26"/>
  <c r="R44" i="26"/>
  <c r="V39" i="26"/>
  <c r="D38" i="26"/>
  <c r="F38" i="26"/>
  <c r="J38" i="26"/>
  <c r="L38" i="26"/>
  <c r="L39" i="26" s="1"/>
  <c r="P38" i="26"/>
  <c r="P39" i="26" s="1"/>
  <c r="R38" i="26"/>
  <c r="R39" i="26" s="1"/>
  <c r="D33" i="26"/>
  <c r="F33" i="26"/>
  <c r="F39" i="26" s="1"/>
  <c r="J33" i="26"/>
  <c r="L33" i="26"/>
  <c r="P33" i="26"/>
  <c r="R33" i="26"/>
  <c r="D28" i="26"/>
  <c r="F28" i="26"/>
  <c r="J28" i="26"/>
  <c r="L28" i="26"/>
  <c r="P28" i="26"/>
  <c r="R28" i="26"/>
  <c r="D24" i="26"/>
  <c r="F24" i="26"/>
  <c r="J24" i="26"/>
  <c r="L24" i="26"/>
  <c r="L25" i="26" s="1"/>
  <c r="P24" i="26"/>
  <c r="R24" i="26"/>
  <c r="R25" i="26" s="1"/>
  <c r="D19" i="26"/>
  <c r="F19" i="26"/>
  <c r="J19" i="26"/>
  <c r="L19" i="26"/>
  <c r="P19" i="26"/>
  <c r="R19" i="26"/>
  <c r="D15" i="26"/>
  <c r="F15" i="26"/>
  <c r="J15" i="26"/>
  <c r="L15" i="26"/>
  <c r="P15" i="26"/>
  <c r="R15" i="26"/>
  <c r="D11" i="26"/>
  <c r="F11" i="26"/>
  <c r="J11" i="26"/>
  <c r="L11" i="26"/>
  <c r="P11" i="26"/>
  <c r="R11" i="26"/>
  <c r="L51" i="26" l="1"/>
  <c r="K21" i="17" s="1"/>
  <c r="R51" i="26"/>
  <c r="O21" i="17" s="1"/>
  <c r="P25" i="26"/>
  <c r="D25" i="26"/>
  <c r="N58" i="27"/>
  <c r="M59" i="27"/>
  <c r="O58" i="27"/>
  <c r="H59" i="27"/>
  <c r="M60" i="27"/>
  <c r="H62" i="27"/>
  <c r="I63" i="27"/>
  <c r="M57" i="27"/>
  <c r="H63" i="27"/>
  <c r="P50" i="26"/>
  <c r="P51" i="26"/>
  <c r="J50" i="26"/>
  <c r="F25" i="26"/>
  <c r="J39" i="26"/>
  <c r="D50" i="26"/>
  <c r="D39" i="26"/>
  <c r="J25" i="26"/>
  <c r="J51" i="26" s="1"/>
  <c r="N21" i="17" l="1"/>
  <c r="J21" i="17"/>
  <c r="F51" i="26"/>
  <c r="D51" i="26"/>
  <c r="F21" i="17" s="1"/>
  <c r="G21" i="17" l="1"/>
  <c r="H64" i="26"/>
  <c r="D43" i="25" l="1"/>
  <c r="D29" i="25"/>
  <c r="J9" i="25"/>
  <c r="D33" i="25" l="1"/>
  <c r="J53" i="26" l="1"/>
  <c r="M60" i="26"/>
  <c r="H64" i="25"/>
  <c r="R49" i="25"/>
  <c r="R50" i="25" s="1"/>
  <c r="P49" i="25"/>
  <c r="L49" i="25"/>
  <c r="J49" i="25"/>
  <c r="F49" i="25"/>
  <c r="F50" i="25" s="1"/>
  <c r="D49" i="25"/>
  <c r="R44" i="25"/>
  <c r="P44" i="25"/>
  <c r="L44" i="25"/>
  <c r="J44" i="25"/>
  <c r="F44" i="25"/>
  <c r="D44" i="25"/>
  <c r="R38" i="25"/>
  <c r="P38" i="25"/>
  <c r="L38" i="25"/>
  <c r="J38" i="25"/>
  <c r="F38" i="25"/>
  <c r="D38" i="25"/>
  <c r="R33" i="25"/>
  <c r="P33" i="25"/>
  <c r="L33" i="25"/>
  <c r="J33" i="25"/>
  <c r="F33" i="25"/>
  <c r="R28" i="25"/>
  <c r="P28" i="25"/>
  <c r="L28" i="25"/>
  <c r="J28" i="25"/>
  <c r="F28" i="25"/>
  <c r="D28" i="25"/>
  <c r="R24" i="25"/>
  <c r="P24" i="25"/>
  <c r="L24" i="25"/>
  <c r="J24" i="25"/>
  <c r="F24" i="25"/>
  <c r="D24" i="25"/>
  <c r="R19" i="25"/>
  <c r="P19" i="25"/>
  <c r="L19" i="25"/>
  <c r="F19" i="25"/>
  <c r="D19" i="25"/>
  <c r="R15" i="25"/>
  <c r="P15" i="25"/>
  <c r="L15" i="25"/>
  <c r="F15" i="25"/>
  <c r="D15" i="25"/>
  <c r="R11" i="25"/>
  <c r="P11" i="25"/>
  <c r="L11" i="25"/>
  <c r="F11" i="25"/>
  <c r="D11" i="25"/>
  <c r="L39" i="25" l="1"/>
  <c r="F39" i="25"/>
  <c r="R39" i="25"/>
  <c r="J50" i="25"/>
  <c r="D25" i="25"/>
  <c r="L50" i="25"/>
  <c r="N58" i="26"/>
  <c r="O58" i="26"/>
  <c r="I63" i="26"/>
  <c r="H59" i="26"/>
  <c r="M57" i="26"/>
  <c r="M59" i="26"/>
  <c r="N56" i="26"/>
  <c r="H63" i="26"/>
  <c r="H62" i="26"/>
  <c r="P50" i="25"/>
  <c r="P39" i="25"/>
  <c r="D50" i="25"/>
  <c r="J39" i="25"/>
  <c r="D39" i="25"/>
  <c r="F25" i="25"/>
  <c r="J11" i="25"/>
  <c r="J15" i="25"/>
  <c r="R25" i="25"/>
  <c r="R51" i="25" s="1"/>
  <c r="O20" i="17" s="1"/>
  <c r="J19" i="25"/>
  <c r="L25" i="25"/>
  <c r="L51" i="25" s="1"/>
  <c r="K20" i="17" s="1"/>
  <c r="P25" i="25"/>
  <c r="J9" i="24"/>
  <c r="P51" i="25" l="1"/>
  <c r="F51" i="25"/>
  <c r="D51" i="25"/>
  <c r="J25" i="25"/>
  <c r="F20" i="17" l="1"/>
  <c r="G20" i="17"/>
  <c r="N20" i="17"/>
  <c r="J51" i="25"/>
  <c r="J20" i="17" s="1"/>
  <c r="J18" i="24"/>
  <c r="J14" i="24"/>
  <c r="J53" i="25" l="1"/>
  <c r="F50" i="24"/>
  <c r="D49" i="24"/>
  <c r="F49" i="24"/>
  <c r="J49" i="24"/>
  <c r="L49" i="24"/>
  <c r="L50" i="24" s="1"/>
  <c r="P49" i="24"/>
  <c r="P50" i="24" s="1"/>
  <c r="R49" i="24"/>
  <c r="R50" i="24" s="1"/>
  <c r="D44" i="24"/>
  <c r="F44" i="24"/>
  <c r="J44" i="24"/>
  <c r="L44" i="24"/>
  <c r="P44" i="24"/>
  <c r="R44" i="24"/>
  <c r="P39" i="24"/>
  <c r="R39" i="24"/>
  <c r="D38" i="24"/>
  <c r="F38" i="24"/>
  <c r="J38" i="24"/>
  <c r="L38" i="24"/>
  <c r="L39" i="24" s="1"/>
  <c r="P38" i="24"/>
  <c r="R38" i="24"/>
  <c r="D33" i="24"/>
  <c r="F33" i="24"/>
  <c r="F39" i="24" s="1"/>
  <c r="J33" i="24"/>
  <c r="L33" i="24"/>
  <c r="P33" i="24"/>
  <c r="R33" i="24"/>
  <c r="D28" i="24"/>
  <c r="F28" i="24"/>
  <c r="J28" i="24"/>
  <c r="L28" i="24"/>
  <c r="P28" i="24"/>
  <c r="R28" i="24"/>
  <c r="D24" i="24"/>
  <c r="D25" i="24" s="1"/>
  <c r="F24" i="24"/>
  <c r="J24" i="24"/>
  <c r="L24" i="24"/>
  <c r="P24" i="24"/>
  <c r="P25" i="24" s="1"/>
  <c r="R24" i="24"/>
  <c r="R25" i="24" s="1"/>
  <c r="D19" i="24"/>
  <c r="F19" i="24"/>
  <c r="J19" i="24"/>
  <c r="L19" i="24"/>
  <c r="P19" i="24"/>
  <c r="R19" i="24"/>
  <c r="D15" i="24"/>
  <c r="F15" i="24"/>
  <c r="J15" i="24"/>
  <c r="L15" i="24"/>
  <c r="P15" i="24"/>
  <c r="R15" i="24"/>
  <c r="D11" i="24"/>
  <c r="F11" i="24"/>
  <c r="F25" i="24" s="1"/>
  <c r="J11" i="24"/>
  <c r="L11" i="24"/>
  <c r="P11" i="24"/>
  <c r="R11" i="24"/>
  <c r="H64" i="24"/>
  <c r="R51" i="24" l="1"/>
  <c r="O19" i="17" s="1"/>
  <c r="F51" i="24"/>
  <c r="G19" i="17" s="1"/>
  <c r="J39" i="24"/>
  <c r="D39" i="24"/>
  <c r="L25" i="24"/>
  <c r="L51" i="24" s="1"/>
  <c r="K19" i="17" s="1"/>
  <c r="J50" i="24"/>
  <c r="M60" i="25"/>
  <c r="H63" i="25"/>
  <c r="H59" i="25"/>
  <c r="O58" i="25"/>
  <c r="M59" i="25"/>
  <c r="N56" i="25"/>
  <c r="M57" i="25"/>
  <c r="N58" i="25"/>
  <c r="H62" i="25"/>
  <c r="I63" i="25"/>
  <c r="P51" i="24"/>
  <c r="N19" i="17" s="1"/>
  <c r="D50" i="24"/>
  <c r="D51" i="24" s="1"/>
  <c r="F19" i="17" s="1"/>
  <c r="J25" i="24"/>
  <c r="J51" i="24" s="1"/>
  <c r="J19" i="17" s="1"/>
  <c r="J17" i="23" l="1"/>
  <c r="J16" i="23"/>
  <c r="J53" i="24" l="1"/>
  <c r="N58" i="24" s="1"/>
  <c r="H59" i="24" l="1"/>
  <c r="I63" i="24"/>
  <c r="O58" i="24"/>
  <c r="M60" i="24"/>
  <c r="M57" i="24"/>
  <c r="M59" i="24"/>
  <c r="N56" i="24"/>
  <c r="H63" i="24"/>
  <c r="H62" i="24"/>
  <c r="D49" i="23" l="1"/>
  <c r="F49" i="23"/>
  <c r="F50" i="23" s="1"/>
  <c r="J49" i="23"/>
  <c r="L49" i="23"/>
  <c r="P49" i="23"/>
  <c r="P50" i="23" s="1"/>
  <c r="R49" i="23"/>
  <c r="R50" i="23" s="1"/>
  <c r="D44" i="23"/>
  <c r="F44" i="23"/>
  <c r="I44" i="23"/>
  <c r="J44" i="23"/>
  <c r="L44" i="23"/>
  <c r="P44" i="23"/>
  <c r="R44" i="23"/>
  <c r="D38" i="23"/>
  <c r="F38" i="23"/>
  <c r="F39" i="23" s="1"/>
  <c r="J38" i="23"/>
  <c r="L38" i="23"/>
  <c r="P38" i="23"/>
  <c r="R38" i="23"/>
  <c r="D33" i="23"/>
  <c r="F33" i="23"/>
  <c r="J33" i="23"/>
  <c r="L33" i="23"/>
  <c r="L39" i="23" s="1"/>
  <c r="P33" i="23"/>
  <c r="P39" i="23" s="1"/>
  <c r="R33" i="23"/>
  <c r="R39" i="23" s="1"/>
  <c r="D28" i="23"/>
  <c r="F28" i="23"/>
  <c r="J28" i="23"/>
  <c r="L28" i="23"/>
  <c r="P28" i="23"/>
  <c r="R28" i="23"/>
  <c r="D24" i="23"/>
  <c r="F24" i="23"/>
  <c r="J24" i="23"/>
  <c r="L24" i="23"/>
  <c r="L25" i="23" s="1"/>
  <c r="P24" i="23"/>
  <c r="R24" i="23"/>
  <c r="D19" i="23"/>
  <c r="F19" i="23"/>
  <c r="F25" i="23" s="1"/>
  <c r="J19" i="23"/>
  <c r="L19" i="23"/>
  <c r="P19" i="23"/>
  <c r="P25" i="23" s="1"/>
  <c r="R19" i="23"/>
  <c r="D15" i="23"/>
  <c r="F15" i="23"/>
  <c r="J15" i="23"/>
  <c r="L15" i="23"/>
  <c r="P15" i="23"/>
  <c r="R15" i="23"/>
  <c r="D11" i="23"/>
  <c r="F11" i="23"/>
  <c r="J11" i="23"/>
  <c r="L11" i="23"/>
  <c r="P11" i="23"/>
  <c r="R11" i="23"/>
  <c r="H64" i="23"/>
  <c r="N43" i="23"/>
  <c r="I43" i="24" s="1"/>
  <c r="N43" i="24" s="1"/>
  <c r="I43" i="25" s="1"/>
  <c r="N43" i="25" s="1"/>
  <c r="I43" i="26" s="1"/>
  <c r="N43" i="26" s="1"/>
  <c r="I43" i="27" s="1"/>
  <c r="N43" i="27" s="1"/>
  <c r="N42" i="23"/>
  <c r="I42" i="24" s="1"/>
  <c r="N42" i="24" s="1"/>
  <c r="I42" i="25" s="1"/>
  <c r="N42" i="25" s="1"/>
  <c r="I42" i="26" s="1"/>
  <c r="N42" i="26" s="1"/>
  <c r="I42" i="27" s="1"/>
  <c r="N42" i="27" s="1"/>
  <c r="N41" i="23"/>
  <c r="I41" i="24" s="1"/>
  <c r="N41" i="24" s="1"/>
  <c r="I41" i="25" s="1"/>
  <c r="N41" i="25" s="1"/>
  <c r="I41" i="26" s="1"/>
  <c r="N41" i="26" s="1"/>
  <c r="I41" i="27" s="1"/>
  <c r="N41" i="27" s="1"/>
  <c r="R25" i="23" l="1"/>
  <c r="R51" i="23" s="1"/>
  <c r="O18" i="17" s="1"/>
  <c r="J50" i="23"/>
  <c r="P51" i="23"/>
  <c r="N18" i="17" s="1"/>
  <c r="F51" i="23"/>
  <c r="G18" i="17" s="1"/>
  <c r="L50" i="23"/>
  <c r="L51" i="23" s="1"/>
  <c r="K18" i="17" s="1"/>
  <c r="D50" i="23"/>
  <c r="J39" i="23"/>
  <c r="D39" i="23"/>
  <c r="J25" i="23"/>
  <c r="D25" i="23"/>
  <c r="N40" i="23"/>
  <c r="N44" i="23" l="1"/>
  <c r="I40" i="24"/>
  <c r="J51" i="23"/>
  <c r="J18" i="17" s="1"/>
  <c r="D51" i="23"/>
  <c r="F18" i="17" s="1"/>
  <c r="D34" i="22"/>
  <c r="D37" i="22"/>
  <c r="J12" i="22"/>
  <c r="J9" i="22"/>
  <c r="I44" i="24" l="1"/>
  <c r="N40" i="24"/>
  <c r="J34" i="22"/>
  <c r="J17" i="22"/>
  <c r="J16" i="22"/>
  <c r="J14" i="22"/>
  <c r="J13" i="22"/>
  <c r="I40" i="25" l="1"/>
  <c r="N40" i="25" s="1"/>
  <c r="N44" i="24"/>
  <c r="I44" i="25" s="1"/>
  <c r="J53" i="23"/>
  <c r="J7" i="22"/>
  <c r="N44" i="25" l="1"/>
  <c r="I40" i="26"/>
  <c r="M60" i="23"/>
  <c r="O58" i="23"/>
  <c r="I63" i="23"/>
  <c r="N58" i="23"/>
  <c r="H63" i="23"/>
  <c r="M59" i="23"/>
  <c r="M57" i="23"/>
  <c r="H62" i="23"/>
  <c r="H59" i="23"/>
  <c r="N56" i="23"/>
  <c r="N40" i="26" l="1"/>
  <c r="I40" i="27" s="1"/>
  <c r="I44" i="26"/>
  <c r="N44" i="26" s="1"/>
  <c r="D49" i="22"/>
  <c r="F49" i="22"/>
  <c r="F50" i="22" s="1"/>
  <c r="J49" i="22"/>
  <c r="L49" i="22"/>
  <c r="P49" i="22"/>
  <c r="R49" i="22"/>
  <c r="D44" i="22"/>
  <c r="F44" i="22"/>
  <c r="J44" i="22"/>
  <c r="J50" i="22" s="1"/>
  <c r="L44" i="22"/>
  <c r="P44" i="22"/>
  <c r="R44" i="22"/>
  <c r="R50" i="22" s="1"/>
  <c r="D38" i="22"/>
  <c r="F38" i="22"/>
  <c r="J38" i="22"/>
  <c r="L38" i="22"/>
  <c r="P38" i="22"/>
  <c r="R38" i="22"/>
  <c r="D33" i="22"/>
  <c r="F33" i="22"/>
  <c r="J33" i="22"/>
  <c r="L33" i="22"/>
  <c r="L39" i="22" s="1"/>
  <c r="P33" i="22"/>
  <c r="R33" i="22"/>
  <c r="D28" i="22"/>
  <c r="F28" i="22"/>
  <c r="J28" i="22"/>
  <c r="L28" i="22"/>
  <c r="P28" i="22"/>
  <c r="R28" i="22"/>
  <c r="D24" i="22"/>
  <c r="F24" i="22"/>
  <c r="J24" i="22"/>
  <c r="L24" i="22"/>
  <c r="P24" i="22"/>
  <c r="R24" i="22"/>
  <c r="R25" i="22" s="1"/>
  <c r="D19" i="22"/>
  <c r="F19" i="22"/>
  <c r="J19" i="22"/>
  <c r="L19" i="22"/>
  <c r="L25" i="22" s="1"/>
  <c r="P19" i="22"/>
  <c r="P25" i="22" s="1"/>
  <c r="R19" i="22"/>
  <c r="D15" i="22"/>
  <c r="F15" i="22"/>
  <c r="J15" i="22"/>
  <c r="L15" i="22"/>
  <c r="P15" i="22"/>
  <c r="R15" i="22"/>
  <c r="D11" i="22"/>
  <c r="F11" i="22"/>
  <c r="J11" i="22"/>
  <c r="L11" i="22"/>
  <c r="P11" i="22"/>
  <c r="R11" i="22"/>
  <c r="R39" i="22" l="1"/>
  <c r="R51" i="22" s="1"/>
  <c r="O17" i="17" s="1"/>
  <c r="L50" i="22"/>
  <c r="D50" i="22"/>
  <c r="N40" i="27"/>
  <c r="N44" i="27" s="1"/>
  <c r="I44" i="27"/>
  <c r="D39" i="22"/>
  <c r="P39" i="22"/>
  <c r="P50" i="22"/>
  <c r="L51" i="22"/>
  <c r="J39" i="22"/>
  <c r="F39" i="22"/>
  <c r="J25" i="22"/>
  <c r="F25" i="22"/>
  <c r="F51" i="22" s="1"/>
  <c r="G17" i="17" s="1"/>
  <c r="D25" i="22"/>
  <c r="H64" i="22"/>
  <c r="W39" i="22"/>
  <c r="V39" i="22"/>
  <c r="K17" i="17" l="1"/>
  <c r="D51" i="22"/>
  <c r="P51" i="22"/>
  <c r="N17" i="17" s="1"/>
  <c r="J51" i="22"/>
  <c r="T8" i="21"/>
  <c r="O8" i="22" s="1"/>
  <c r="T8" i="22" s="1"/>
  <c r="O8" i="23" s="1"/>
  <c r="T8" i="23" s="1"/>
  <c r="O8" i="24" s="1"/>
  <c r="T8" i="24" s="1"/>
  <c r="O8" i="25" s="1"/>
  <c r="T8" i="25" s="1"/>
  <c r="O8" i="26" s="1"/>
  <c r="T8" i="26" s="1"/>
  <c r="O8" i="27" s="1"/>
  <c r="T8" i="27" s="1"/>
  <c r="T9" i="21"/>
  <c r="O9" i="22" s="1"/>
  <c r="T9" i="22" s="1"/>
  <c r="O9" i="23" s="1"/>
  <c r="T9" i="23" s="1"/>
  <c r="O9" i="24" s="1"/>
  <c r="T9" i="24" s="1"/>
  <c r="O9" i="25" s="1"/>
  <c r="T9" i="25" s="1"/>
  <c r="O9" i="26" s="1"/>
  <c r="T9" i="26" s="1"/>
  <c r="O9" i="27" s="1"/>
  <c r="T9" i="27" s="1"/>
  <c r="T10" i="21"/>
  <c r="O10" i="22" s="1"/>
  <c r="T10" i="22" s="1"/>
  <c r="O10" i="23" s="1"/>
  <c r="T10" i="23" s="1"/>
  <c r="O10" i="24" s="1"/>
  <c r="T10" i="24" s="1"/>
  <c r="O10" i="25" s="1"/>
  <c r="T10" i="25" s="1"/>
  <c r="O10" i="26" s="1"/>
  <c r="T10" i="26" s="1"/>
  <c r="O10" i="27" s="1"/>
  <c r="T10" i="27" s="1"/>
  <c r="T12" i="21"/>
  <c r="O12" i="22" s="1"/>
  <c r="T13" i="21"/>
  <c r="O13" i="22" s="1"/>
  <c r="T13" i="22" s="1"/>
  <c r="O13" i="23" s="1"/>
  <c r="T13" i="23" s="1"/>
  <c r="O13" i="24" s="1"/>
  <c r="T13" i="24" s="1"/>
  <c r="O13" i="25" s="1"/>
  <c r="T13" i="25" s="1"/>
  <c r="O13" i="26" s="1"/>
  <c r="T13" i="26" s="1"/>
  <c r="O13" i="27" s="1"/>
  <c r="T13" i="27" s="1"/>
  <c r="T14" i="21"/>
  <c r="O14" i="22" s="1"/>
  <c r="T14" i="22" s="1"/>
  <c r="O14" i="23" s="1"/>
  <c r="T14" i="23" s="1"/>
  <c r="O14" i="24" s="1"/>
  <c r="T14" i="24" s="1"/>
  <c r="O14" i="25" s="1"/>
  <c r="T14" i="25" s="1"/>
  <c r="O14" i="26" s="1"/>
  <c r="T14" i="26" s="1"/>
  <c r="O14" i="27" s="1"/>
  <c r="T14" i="27" s="1"/>
  <c r="T16" i="21"/>
  <c r="O16" i="22" s="1"/>
  <c r="T17" i="21"/>
  <c r="O17" i="22" s="1"/>
  <c r="T17" i="22" s="1"/>
  <c r="O17" i="23" s="1"/>
  <c r="T17" i="23" s="1"/>
  <c r="T18" i="21"/>
  <c r="O18" i="22" s="1"/>
  <c r="T18" i="22" s="1"/>
  <c r="O18" i="23" s="1"/>
  <c r="T18" i="23" s="1"/>
  <c r="O18" i="24" s="1"/>
  <c r="T18" i="24" s="1"/>
  <c r="O18" i="25" s="1"/>
  <c r="T18" i="25" s="1"/>
  <c r="O18" i="26" s="1"/>
  <c r="T18" i="26" s="1"/>
  <c r="O18" i="27" s="1"/>
  <c r="T18" i="27" s="1"/>
  <c r="T20" i="21"/>
  <c r="O20" i="22" s="1"/>
  <c r="T21" i="21"/>
  <c r="O21" i="22" s="1"/>
  <c r="T21" i="22" s="1"/>
  <c r="O21" i="23" s="1"/>
  <c r="T21" i="23" s="1"/>
  <c r="O21" i="24" s="1"/>
  <c r="T21" i="24" s="1"/>
  <c r="O21" i="25" s="1"/>
  <c r="T21" i="25" s="1"/>
  <c r="O21" i="26" s="1"/>
  <c r="T21" i="26" s="1"/>
  <c r="O21" i="27" s="1"/>
  <c r="T21" i="27" s="1"/>
  <c r="T22" i="21"/>
  <c r="O22" i="22" s="1"/>
  <c r="T22" i="22" s="1"/>
  <c r="O22" i="23" s="1"/>
  <c r="T22" i="23" s="1"/>
  <c r="O22" i="24" s="1"/>
  <c r="T22" i="24" s="1"/>
  <c r="O22" i="25" s="1"/>
  <c r="T22" i="25" s="1"/>
  <c r="O22" i="26" s="1"/>
  <c r="T22" i="26" s="1"/>
  <c r="O22" i="27" s="1"/>
  <c r="T22" i="27" s="1"/>
  <c r="T23" i="21"/>
  <c r="O23" i="22" s="1"/>
  <c r="T23" i="22" s="1"/>
  <c r="O23" i="23" s="1"/>
  <c r="T23" i="23" s="1"/>
  <c r="O23" i="24" s="1"/>
  <c r="T23" i="24" s="1"/>
  <c r="O23" i="25" s="1"/>
  <c r="T23" i="25" s="1"/>
  <c r="O23" i="26" s="1"/>
  <c r="T23" i="26" s="1"/>
  <c r="O23" i="27" s="1"/>
  <c r="T23" i="27" s="1"/>
  <c r="T26" i="21"/>
  <c r="O26" i="22" s="1"/>
  <c r="T27" i="21"/>
  <c r="O27" i="22" s="1"/>
  <c r="T27" i="22" s="1"/>
  <c r="O27" i="23" s="1"/>
  <c r="T27" i="23" s="1"/>
  <c r="O27" i="24" s="1"/>
  <c r="T27" i="24" s="1"/>
  <c r="O27" i="25" s="1"/>
  <c r="T27" i="25" s="1"/>
  <c r="O27" i="26" s="1"/>
  <c r="T27" i="26" s="1"/>
  <c r="O27" i="27" s="1"/>
  <c r="T27" i="27" s="1"/>
  <c r="T29" i="21"/>
  <c r="O29" i="22" s="1"/>
  <c r="T30" i="21"/>
  <c r="O30" i="22" s="1"/>
  <c r="T30" i="22" s="1"/>
  <c r="O30" i="23" s="1"/>
  <c r="T30" i="23" s="1"/>
  <c r="O30" i="24" s="1"/>
  <c r="T30" i="24" s="1"/>
  <c r="O30" i="25" s="1"/>
  <c r="T30" i="25" s="1"/>
  <c r="O30" i="26" s="1"/>
  <c r="T30" i="26" s="1"/>
  <c r="O30" i="27" s="1"/>
  <c r="T30" i="27" s="1"/>
  <c r="T31" i="21"/>
  <c r="O31" i="22" s="1"/>
  <c r="T31" i="22" s="1"/>
  <c r="O31" i="23" s="1"/>
  <c r="T31" i="23" s="1"/>
  <c r="O31" i="24" s="1"/>
  <c r="T31" i="24" s="1"/>
  <c r="O31" i="25" s="1"/>
  <c r="T31" i="25" s="1"/>
  <c r="O31" i="26" s="1"/>
  <c r="T31" i="26" s="1"/>
  <c r="O31" i="27" s="1"/>
  <c r="T31" i="27" s="1"/>
  <c r="T32" i="21"/>
  <c r="O32" i="22" s="1"/>
  <c r="T32" i="22" s="1"/>
  <c r="O32" i="23" s="1"/>
  <c r="T32" i="23" s="1"/>
  <c r="O32" i="24" s="1"/>
  <c r="T32" i="24" s="1"/>
  <c r="O32" i="25" s="1"/>
  <c r="T32" i="25" s="1"/>
  <c r="O32" i="26" s="1"/>
  <c r="T32" i="26" s="1"/>
  <c r="O32" i="27" s="1"/>
  <c r="T32" i="27" s="1"/>
  <c r="T34" i="21"/>
  <c r="O34" i="22" s="1"/>
  <c r="T35" i="21"/>
  <c r="O35" i="22" s="1"/>
  <c r="T35" i="22" s="1"/>
  <c r="O35" i="23" s="1"/>
  <c r="T35" i="23" s="1"/>
  <c r="O35" i="24" s="1"/>
  <c r="T35" i="24" s="1"/>
  <c r="O35" i="25" s="1"/>
  <c r="T35" i="25" s="1"/>
  <c r="O35" i="26" s="1"/>
  <c r="T35" i="26" s="1"/>
  <c r="O35" i="27" s="1"/>
  <c r="T35" i="27" s="1"/>
  <c r="T37" i="21"/>
  <c r="O37" i="22" s="1"/>
  <c r="T37" i="22" s="1"/>
  <c r="O37" i="23" s="1"/>
  <c r="T37" i="23" s="1"/>
  <c r="O37" i="24" s="1"/>
  <c r="T37" i="24" s="1"/>
  <c r="O37" i="25" s="1"/>
  <c r="T37" i="25" s="1"/>
  <c r="O37" i="26" s="1"/>
  <c r="T37" i="26" s="1"/>
  <c r="O37" i="27" s="1"/>
  <c r="T37" i="27" s="1"/>
  <c r="T40" i="21"/>
  <c r="O40" i="22" s="1"/>
  <c r="T41" i="21"/>
  <c r="O41" i="22" s="1"/>
  <c r="T41" i="22" s="1"/>
  <c r="O41" i="23" s="1"/>
  <c r="T41" i="23" s="1"/>
  <c r="O41" i="24" s="1"/>
  <c r="T41" i="24" s="1"/>
  <c r="O41" i="25" s="1"/>
  <c r="T41" i="25" s="1"/>
  <c r="O41" i="26" s="1"/>
  <c r="T41" i="26" s="1"/>
  <c r="O41" i="27" s="1"/>
  <c r="T41" i="27" s="1"/>
  <c r="T42" i="21"/>
  <c r="O42" i="22" s="1"/>
  <c r="T42" i="22" s="1"/>
  <c r="O42" i="23" s="1"/>
  <c r="T42" i="23" s="1"/>
  <c r="O42" i="24" s="1"/>
  <c r="T42" i="24" s="1"/>
  <c r="O42" i="25" s="1"/>
  <c r="T42" i="25" s="1"/>
  <c r="O42" i="26" s="1"/>
  <c r="T42" i="26" s="1"/>
  <c r="O42" i="27" s="1"/>
  <c r="T42" i="27" s="1"/>
  <c r="T43" i="21"/>
  <c r="O43" i="22" s="1"/>
  <c r="T43" i="22" s="1"/>
  <c r="O43" i="23" s="1"/>
  <c r="T43" i="23" s="1"/>
  <c r="O43" i="24" s="1"/>
  <c r="T43" i="24" s="1"/>
  <c r="O43" i="25" s="1"/>
  <c r="T43" i="25" s="1"/>
  <c r="O43" i="26" s="1"/>
  <c r="T43" i="26" s="1"/>
  <c r="O43" i="27" s="1"/>
  <c r="T43" i="27" s="1"/>
  <c r="T45" i="21"/>
  <c r="O45" i="22" s="1"/>
  <c r="T46" i="21"/>
  <c r="O46" i="22" s="1"/>
  <c r="T46" i="22" s="1"/>
  <c r="O46" i="23" s="1"/>
  <c r="T46" i="23" s="1"/>
  <c r="O46" i="24" s="1"/>
  <c r="T46" i="24" s="1"/>
  <c r="O46" i="25" s="1"/>
  <c r="T46" i="25" s="1"/>
  <c r="O46" i="26" s="1"/>
  <c r="T46" i="26" s="1"/>
  <c r="T47" i="21"/>
  <c r="O47" i="22" s="1"/>
  <c r="T47" i="22" s="1"/>
  <c r="O47" i="23" s="1"/>
  <c r="T47" i="23" s="1"/>
  <c r="O47" i="24" s="1"/>
  <c r="T47" i="24" s="1"/>
  <c r="O47" i="25" s="1"/>
  <c r="T47" i="25" s="1"/>
  <c r="O47" i="26" s="1"/>
  <c r="T47" i="26" s="1"/>
  <c r="O47" i="27" s="1"/>
  <c r="T47" i="27" s="1"/>
  <c r="T48" i="21"/>
  <c r="O48" i="22" s="1"/>
  <c r="T48" i="22" s="1"/>
  <c r="H8" i="21"/>
  <c r="C8" i="22" s="1"/>
  <c r="H8" i="22" s="1"/>
  <c r="H9" i="21"/>
  <c r="C9" i="22" s="1"/>
  <c r="H9" i="22" s="1"/>
  <c r="H10" i="21"/>
  <c r="C10" i="22" s="1"/>
  <c r="H10" i="22" s="1"/>
  <c r="H12" i="21"/>
  <c r="C12" i="22" s="1"/>
  <c r="H13" i="21"/>
  <c r="C13" i="22" s="1"/>
  <c r="H13" i="22" s="1"/>
  <c r="C13" i="23" s="1"/>
  <c r="H13" i="23" s="1"/>
  <c r="H14" i="21"/>
  <c r="C14" i="22" s="1"/>
  <c r="H14" i="22" s="1"/>
  <c r="C14" i="23" s="1"/>
  <c r="H14" i="23" s="1"/>
  <c r="H16" i="21"/>
  <c r="C16" i="22" s="1"/>
  <c r="H17" i="21"/>
  <c r="C17" i="22" s="1"/>
  <c r="H17" i="22" s="1"/>
  <c r="H18" i="21"/>
  <c r="C18" i="22" s="1"/>
  <c r="H18" i="22" s="1"/>
  <c r="H21" i="21"/>
  <c r="C21" i="22" s="1"/>
  <c r="H21" i="22" s="1"/>
  <c r="H22" i="21"/>
  <c r="C22" i="22" s="1"/>
  <c r="H22" i="22" s="1"/>
  <c r="H23" i="21"/>
  <c r="C23" i="22" s="1"/>
  <c r="H23" i="22" s="1"/>
  <c r="H26" i="21"/>
  <c r="C26" i="22" s="1"/>
  <c r="H27" i="21"/>
  <c r="C27" i="22" s="1"/>
  <c r="H27" i="22" s="1"/>
  <c r="H29" i="21"/>
  <c r="C29" i="22" s="1"/>
  <c r="H30" i="21"/>
  <c r="C30" i="22" s="1"/>
  <c r="H30" i="22" s="1"/>
  <c r="H32" i="21"/>
  <c r="C32" i="22" s="1"/>
  <c r="H32" i="22" s="1"/>
  <c r="H34" i="21"/>
  <c r="C34" i="22" s="1"/>
  <c r="H35" i="21"/>
  <c r="C35" i="22" s="1"/>
  <c r="H35" i="22" s="1"/>
  <c r="C35" i="23" s="1"/>
  <c r="H35" i="23" s="1"/>
  <c r="H36" i="21"/>
  <c r="C36" i="22" s="1"/>
  <c r="H36" i="22" s="1"/>
  <c r="H37" i="21"/>
  <c r="C37" i="22" s="1"/>
  <c r="H37" i="22" s="1"/>
  <c r="H40" i="21"/>
  <c r="C40" i="22" s="1"/>
  <c r="H41" i="21"/>
  <c r="C41" i="22" s="1"/>
  <c r="H41" i="22" s="1"/>
  <c r="H42" i="21"/>
  <c r="C42" i="22" s="1"/>
  <c r="H42" i="22" s="1"/>
  <c r="H43" i="21"/>
  <c r="C43" i="22" s="1"/>
  <c r="H43" i="22" s="1"/>
  <c r="H45" i="21"/>
  <c r="C45" i="22" s="1"/>
  <c r="H46" i="21"/>
  <c r="C46" i="22" s="1"/>
  <c r="H46" i="22" s="1"/>
  <c r="H47" i="21"/>
  <c r="C47" i="22" s="1"/>
  <c r="H47" i="22" s="1"/>
  <c r="H48" i="21"/>
  <c r="C48" i="22" s="1"/>
  <c r="H48" i="22" s="1"/>
  <c r="C48" i="23" s="1"/>
  <c r="H48" i="23" s="1"/>
  <c r="N8" i="21"/>
  <c r="I8" i="22" s="1"/>
  <c r="N8" i="22" s="1"/>
  <c r="I8" i="23" s="1"/>
  <c r="N8" i="23" s="1"/>
  <c r="I8" i="24" s="1"/>
  <c r="N8" i="24" s="1"/>
  <c r="I8" i="25" s="1"/>
  <c r="N8" i="25" s="1"/>
  <c r="I8" i="26" s="1"/>
  <c r="N8" i="26" s="1"/>
  <c r="I8" i="27" s="1"/>
  <c r="N8" i="27" s="1"/>
  <c r="N9" i="21"/>
  <c r="I9" i="22" s="1"/>
  <c r="N9" i="22" s="1"/>
  <c r="I9" i="23" s="1"/>
  <c r="N9" i="23" s="1"/>
  <c r="I9" i="24" s="1"/>
  <c r="N9" i="24" s="1"/>
  <c r="N12" i="21"/>
  <c r="I12" i="22" s="1"/>
  <c r="N13" i="21"/>
  <c r="I13" i="22" s="1"/>
  <c r="N13" i="22" s="1"/>
  <c r="N14" i="21"/>
  <c r="I14" i="22" s="1"/>
  <c r="N14" i="22" s="1"/>
  <c r="N16" i="21"/>
  <c r="I16" i="22" s="1"/>
  <c r="N17" i="21"/>
  <c r="I17" i="22" s="1"/>
  <c r="N17" i="22" s="1"/>
  <c r="I17" i="23" s="1"/>
  <c r="N17" i="23" s="1"/>
  <c r="I17" i="24" s="1"/>
  <c r="N17" i="24" s="1"/>
  <c r="I17" i="25" s="1"/>
  <c r="N17" i="25" s="1"/>
  <c r="I17" i="26" s="1"/>
  <c r="N17" i="26" s="1"/>
  <c r="I17" i="27" s="1"/>
  <c r="N17" i="27" s="1"/>
  <c r="N18" i="21"/>
  <c r="I18" i="22" s="1"/>
  <c r="N18" i="22" s="1"/>
  <c r="I18" i="23" s="1"/>
  <c r="N18" i="23" s="1"/>
  <c r="I18" i="24" s="1"/>
  <c r="N18" i="24" s="1"/>
  <c r="I18" i="25" s="1"/>
  <c r="N18" i="25" s="1"/>
  <c r="N26" i="21"/>
  <c r="I26" i="22" s="1"/>
  <c r="N27" i="21"/>
  <c r="I27" i="22" s="1"/>
  <c r="N27" i="22" s="1"/>
  <c r="I27" i="23" s="1"/>
  <c r="N27" i="23" s="1"/>
  <c r="I27" i="24" s="1"/>
  <c r="N27" i="24" s="1"/>
  <c r="N29" i="21"/>
  <c r="I29" i="22" s="1"/>
  <c r="N30" i="21"/>
  <c r="I30" i="22" s="1"/>
  <c r="N30" i="22" s="1"/>
  <c r="I30" i="23" s="1"/>
  <c r="N30" i="23" s="1"/>
  <c r="I30" i="24" s="1"/>
  <c r="N30" i="24" s="1"/>
  <c r="I30" i="25" s="1"/>
  <c r="N30" i="25" s="1"/>
  <c r="N31" i="21"/>
  <c r="I31" i="22" s="1"/>
  <c r="N31" i="22" s="1"/>
  <c r="I31" i="23" s="1"/>
  <c r="N31" i="23" s="1"/>
  <c r="I31" i="24" s="1"/>
  <c r="N31" i="24" s="1"/>
  <c r="I31" i="25" s="1"/>
  <c r="N31" i="25" s="1"/>
  <c r="I31" i="26" s="1"/>
  <c r="N31" i="26" s="1"/>
  <c r="I31" i="27" s="1"/>
  <c r="N31" i="27" s="1"/>
  <c r="N32" i="21"/>
  <c r="I32" i="22" s="1"/>
  <c r="N32" i="22" s="1"/>
  <c r="I32" i="23" s="1"/>
  <c r="N32" i="23" s="1"/>
  <c r="I32" i="24" s="1"/>
  <c r="N32" i="24" s="1"/>
  <c r="N34" i="21"/>
  <c r="I34" i="22" s="1"/>
  <c r="N35" i="21"/>
  <c r="I35" i="22" s="1"/>
  <c r="N35" i="22" s="1"/>
  <c r="N36" i="21"/>
  <c r="I36" i="22" s="1"/>
  <c r="N36" i="22" s="1"/>
  <c r="I36" i="23" s="1"/>
  <c r="N36" i="23" s="1"/>
  <c r="I36" i="24" s="1"/>
  <c r="N36" i="24" s="1"/>
  <c r="I36" i="25" s="1"/>
  <c r="N36" i="25" s="1"/>
  <c r="N37" i="21"/>
  <c r="I37" i="22" s="1"/>
  <c r="N37" i="22" s="1"/>
  <c r="I37" i="23" s="1"/>
  <c r="N37" i="23" s="1"/>
  <c r="I37" i="24" s="1"/>
  <c r="N37" i="24" s="1"/>
  <c r="I37" i="25" s="1"/>
  <c r="N37" i="25" s="1"/>
  <c r="I37" i="26" s="1"/>
  <c r="N37" i="26" s="1"/>
  <c r="I37" i="27" s="1"/>
  <c r="N37" i="27" s="1"/>
  <c r="N40" i="21"/>
  <c r="I40" i="22" s="1"/>
  <c r="N41" i="21"/>
  <c r="I41" i="22" s="1"/>
  <c r="N41" i="22" s="1"/>
  <c r="N42" i="21"/>
  <c r="I42" i="22" s="1"/>
  <c r="N42" i="22" s="1"/>
  <c r="N43" i="21"/>
  <c r="I43" i="22" s="1"/>
  <c r="N43" i="22" s="1"/>
  <c r="N45" i="21"/>
  <c r="I45" i="22" s="1"/>
  <c r="N46" i="21"/>
  <c r="I46" i="22" s="1"/>
  <c r="N46" i="22" s="1"/>
  <c r="I46" i="23" s="1"/>
  <c r="N46" i="23" s="1"/>
  <c r="I46" i="24" s="1"/>
  <c r="N46" i="24" s="1"/>
  <c r="I46" i="25" s="1"/>
  <c r="N46" i="25" s="1"/>
  <c r="N47" i="21"/>
  <c r="I47" i="22" s="1"/>
  <c r="N47" i="22" s="1"/>
  <c r="I47" i="23" s="1"/>
  <c r="N47" i="23" s="1"/>
  <c r="I47" i="24" s="1"/>
  <c r="N47" i="24" s="1"/>
  <c r="I47" i="25" s="1"/>
  <c r="N47" i="25" s="1"/>
  <c r="I47" i="26" s="1"/>
  <c r="N47" i="26" s="1"/>
  <c r="I47" i="27" s="1"/>
  <c r="N47" i="27" s="1"/>
  <c r="N48" i="21"/>
  <c r="I48" i="22" s="1"/>
  <c r="N48" i="22" s="1"/>
  <c r="I48" i="23" s="1"/>
  <c r="N48" i="23" s="1"/>
  <c r="I48" i="24" s="1"/>
  <c r="N48" i="24" s="1"/>
  <c r="I48" i="25" s="1"/>
  <c r="N48" i="25" s="1"/>
  <c r="I48" i="26" s="1"/>
  <c r="N48" i="26" s="1"/>
  <c r="I48" i="27" s="1"/>
  <c r="N48" i="27" s="1"/>
  <c r="I46" i="26" l="1"/>
  <c r="N46" i="26" s="1"/>
  <c r="I46" i="27" s="1"/>
  <c r="N46" i="27" s="1"/>
  <c r="N40" i="22"/>
  <c r="I44" i="22"/>
  <c r="N44" i="22" s="1"/>
  <c r="I36" i="26"/>
  <c r="N36" i="26" s="1"/>
  <c r="I36" i="27" s="1"/>
  <c r="N36" i="27" s="1"/>
  <c r="N34" i="22"/>
  <c r="I34" i="23" s="1"/>
  <c r="I38" i="22"/>
  <c r="I32" i="25"/>
  <c r="N32" i="25" s="1"/>
  <c r="I32" i="26" s="1"/>
  <c r="N32" i="26" s="1"/>
  <c r="I32" i="27" s="1"/>
  <c r="N32" i="27" s="1"/>
  <c r="I30" i="26"/>
  <c r="N30" i="26" s="1"/>
  <c r="I30" i="27" s="1"/>
  <c r="N30" i="27" s="1"/>
  <c r="N26" i="22"/>
  <c r="I26" i="23" s="1"/>
  <c r="I28" i="22"/>
  <c r="N28" i="22" s="1"/>
  <c r="I18" i="26"/>
  <c r="N18" i="26" s="1"/>
  <c r="I18" i="27" s="1"/>
  <c r="N18" i="27" s="1"/>
  <c r="N16" i="22"/>
  <c r="I19" i="22"/>
  <c r="N19" i="22" s="1"/>
  <c r="U14" i="22"/>
  <c r="I14" i="23"/>
  <c r="N14" i="23" s="1"/>
  <c r="I14" i="24" s="1"/>
  <c r="N14" i="24" s="1"/>
  <c r="I14" i="25" s="1"/>
  <c r="N14" i="25" s="1"/>
  <c r="I14" i="26" s="1"/>
  <c r="N14" i="26" s="1"/>
  <c r="I14" i="27" s="1"/>
  <c r="N14" i="27" s="1"/>
  <c r="N12" i="22"/>
  <c r="I15" i="22"/>
  <c r="N15" i="22" s="1"/>
  <c r="C48" i="24"/>
  <c r="H48" i="24" s="1"/>
  <c r="C46" i="23"/>
  <c r="H46" i="23" s="1"/>
  <c r="U46" i="22"/>
  <c r="C42" i="23"/>
  <c r="H42" i="23" s="1"/>
  <c r="U42" i="22"/>
  <c r="H40" i="22"/>
  <c r="C44" i="22"/>
  <c r="H44" i="22" s="1"/>
  <c r="C36" i="23"/>
  <c r="H36" i="23" s="1"/>
  <c r="U36" i="22"/>
  <c r="H34" i="22"/>
  <c r="C38" i="22"/>
  <c r="C32" i="23"/>
  <c r="H32" i="23" s="1"/>
  <c r="U32" i="22"/>
  <c r="C30" i="23"/>
  <c r="H30" i="23" s="1"/>
  <c r="U30" i="22"/>
  <c r="H26" i="22"/>
  <c r="C28" i="22"/>
  <c r="H28" i="22" s="1"/>
  <c r="C22" i="23"/>
  <c r="H22" i="23" s="1"/>
  <c r="C18" i="23"/>
  <c r="H18" i="23" s="1"/>
  <c r="U18" i="22"/>
  <c r="H16" i="22"/>
  <c r="C16" i="23" s="1"/>
  <c r="C19" i="22"/>
  <c r="H19" i="22" s="1"/>
  <c r="C14" i="24"/>
  <c r="H14" i="24" s="1"/>
  <c r="U14" i="23"/>
  <c r="H12" i="22"/>
  <c r="C12" i="23" s="1"/>
  <c r="C15" i="22"/>
  <c r="H15" i="22" s="1"/>
  <c r="C10" i="23"/>
  <c r="H10" i="23" s="1"/>
  <c r="C8" i="23"/>
  <c r="H8" i="23" s="1"/>
  <c r="U8" i="22"/>
  <c r="U48" i="22"/>
  <c r="O48" i="23"/>
  <c r="T48" i="23" s="1"/>
  <c r="O48" i="24" s="1"/>
  <c r="T48" i="24" s="1"/>
  <c r="O48" i="25" s="1"/>
  <c r="T48" i="25" s="1"/>
  <c r="O48" i="26" s="1"/>
  <c r="T48" i="26" s="1"/>
  <c r="O48" i="27" s="1"/>
  <c r="T48" i="27" s="1"/>
  <c r="O46" i="27"/>
  <c r="T46" i="27" s="1"/>
  <c r="T40" i="22"/>
  <c r="O40" i="23" s="1"/>
  <c r="O44" i="22"/>
  <c r="T44" i="22" s="1"/>
  <c r="T34" i="22"/>
  <c r="O34" i="23" s="1"/>
  <c r="O38" i="22"/>
  <c r="T26" i="22"/>
  <c r="O26" i="23" s="1"/>
  <c r="O28" i="22"/>
  <c r="T28" i="22" s="1"/>
  <c r="T20" i="22"/>
  <c r="O20" i="23" s="1"/>
  <c r="O24" i="22"/>
  <c r="T16" i="22"/>
  <c r="O16" i="23" s="1"/>
  <c r="O19" i="22"/>
  <c r="T19" i="22" s="1"/>
  <c r="T12" i="22"/>
  <c r="O12" i="23" s="1"/>
  <c r="O15" i="22"/>
  <c r="T15" i="22" s="1"/>
  <c r="J17" i="17"/>
  <c r="N45" i="22"/>
  <c r="I45" i="23" s="1"/>
  <c r="I49" i="22"/>
  <c r="U35" i="22"/>
  <c r="I35" i="23"/>
  <c r="N35" i="23" s="1"/>
  <c r="I35" i="24" s="1"/>
  <c r="N35" i="24" s="1"/>
  <c r="I35" i="25" s="1"/>
  <c r="N35" i="25" s="1"/>
  <c r="I35" i="26" s="1"/>
  <c r="N35" i="26" s="1"/>
  <c r="I35" i="27" s="1"/>
  <c r="N35" i="27" s="1"/>
  <c r="N29" i="22"/>
  <c r="I29" i="23" s="1"/>
  <c r="I33" i="22"/>
  <c r="N33" i="22" s="1"/>
  <c r="I27" i="25"/>
  <c r="N27" i="25" s="1"/>
  <c r="I27" i="26" s="1"/>
  <c r="N27" i="26" s="1"/>
  <c r="I27" i="27" s="1"/>
  <c r="N27" i="27" s="1"/>
  <c r="U13" i="22"/>
  <c r="I13" i="23"/>
  <c r="N13" i="23" s="1"/>
  <c r="I13" i="24" s="1"/>
  <c r="N13" i="24" s="1"/>
  <c r="I13" i="25" s="1"/>
  <c r="N13" i="25" s="1"/>
  <c r="I13" i="26" s="1"/>
  <c r="N13" i="26" s="1"/>
  <c r="I13" i="27" s="1"/>
  <c r="N13" i="27" s="1"/>
  <c r="I9" i="25"/>
  <c r="N9" i="25" s="1"/>
  <c r="I9" i="26" s="1"/>
  <c r="N9" i="26" s="1"/>
  <c r="I9" i="27" s="1"/>
  <c r="N9" i="27" s="1"/>
  <c r="C47" i="23"/>
  <c r="H47" i="23" s="1"/>
  <c r="U47" i="22"/>
  <c r="H45" i="22"/>
  <c r="C49" i="22"/>
  <c r="C43" i="23"/>
  <c r="H43" i="23" s="1"/>
  <c r="U43" i="22"/>
  <c r="C41" i="23"/>
  <c r="H41" i="23" s="1"/>
  <c r="U41" i="22"/>
  <c r="U37" i="22"/>
  <c r="C37" i="23"/>
  <c r="H37" i="23" s="1"/>
  <c r="C35" i="24"/>
  <c r="H35" i="24" s="1"/>
  <c r="U35" i="23"/>
  <c r="H29" i="22"/>
  <c r="C27" i="23"/>
  <c r="H27" i="23" s="1"/>
  <c r="U27" i="22"/>
  <c r="C23" i="23"/>
  <c r="H23" i="23" s="1"/>
  <c r="C21" i="23"/>
  <c r="H21" i="23" s="1"/>
  <c r="C17" i="23"/>
  <c r="H17" i="23" s="1"/>
  <c r="U17" i="22"/>
  <c r="C13" i="24"/>
  <c r="H13" i="24" s="1"/>
  <c r="C9" i="23"/>
  <c r="H9" i="23" s="1"/>
  <c r="U9" i="22"/>
  <c r="T45" i="22"/>
  <c r="O45" i="23" s="1"/>
  <c r="O49" i="22"/>
  <c r="T29" i="22"/>
  <c r="O29" i="23" s="1"/>
  <c r="O33" i="22"/>
  <c r="T33" i="22" s="1"/>
  <c r="O17" i="24"/>
  <c r="T17" i="24" s="1"/>
  <c r="O17" i="25" s="1"/>
  <c r="T17" i="25" s="1"/>
  <c r="O17" i="26" s="1"/>
  <c r="T17" i="26" s="1"/>
  <c r="O17" i="27" s="1"/>
  <c r="T17" i="27" s="1"/>
  <c r="F17" i="17"/>
  <c r="P36" i="21"/>
  <c r="T36" i="21" s="1"/>
  <c r="O36" i="22" s="1"/>
  <c r="T36" i="22" s="1"/>
  <c r="O36" i="23" s="1"/>
  <c r="T36" i="23" s="1"/>
  <c r="O36" i="24" s="1"/>
  <c r="T36" i="24" s="1"/>
  <c r="O36" i="25" s="1"/>
  <c r="T36" i="25" s="1"/>
  <c r="O36" i="26" s="1"/>
  <c r="T36" i="26" s="1"/>
  <c r="O36" i="27" s="1"/>
  <c r="T36" i="27" s="1"/>
  <c r="C37" i="24" l="1"/>
  <c r="H37" i="24" s="1"/>
  <c r="U37" i="23"/>
  <c r="H49" i="22"/>
  <c r="C50" i="22"/>
  <c r="I50" i="22"/>
  <c r="N49" i="22"/>
  <c r="O39" i="22"/>
  <c r="T39" i="22" s="1"/>
  <c r="T38" i="22"/>
  <c r="U44" i="22"/>
  <c r="U15" i="22"/>
  <c r="U19" i="22"/>
  <c r="O50" i="22"/>
  <c r="T49" i="22"/>
  <c r="U49" i="22" s="1"/>
  <c r="C13" i="25"/>
  <c r="H13" i="25" s="1"/>
  <c r="U13" i="24"/>
  <c r="T24" i="22"/>
  <c r="U28" i="22"/>
  <c r="H38" i="22"/>
  <c r="U48" i="23"/>
  <c r="I39" i="22"/>
  <c r="N39" i="22" s="1"/>
  <c r="N38" i="22"/>
  <c r="O33" i="23"/>
  <c r="T29" i="23"/>
  <c r="O49" i="23"/>
  <c r="O50" i="23" s="1"/>
  <c r="T45" i="23"/>
  <c r="C9" i="24"/>
  <c r="H9" i="24" s="1"/>
  <c r="U9" i="23"/>
  <c r="U13" i="23"/>
  <c r="C17" i="24"/>
  <c r="H17" i="24" s="1"/>
  <c r="U17" i="23"/>
  <c r="C21" i="24"/>
  <c r="H21" i="24" s="1"/>
  <c r="C23" i="24"/>
  <c r="H23" i="24" s="1"/>
  <c r="C27" i="24"/>
  <c r="H27" i="24" s="1"/>
  <c r="U27" i="23"/>
  <c r="C29" i="23"/>
  <c r="U29" i="22"/>
  <c r="C35" i="25"/>
  <c r="H35" i="25" s="1"/>
  <c r="U35" i="24"/>
  <c r="C41" i="24"/>
  <c r="H41" i="24" s="1"/>
  <c r="U41" i="23"/>
  <c r="C43" i="24"/>
  <c r="H43" i="24" s="1"/>
  <c r="U43" i="23"/>
  <c r="C45" i="23"/>
  <c r="U45" i="22"/>
  <c r="C47" i="24"/>
  <c r="H47" i="24" s="1"/>
  <c r="U47" i="23"/>
  <c r="I33" i="23"/>
  <c r="N29" i="23"/>
  <c r="I49" i="23"/>
  <c r="I50" i="23" s="1"/>
  <c r="N45" i="23"/>
  <c r="O15" i="23"/>
  <c r="T12" i="23"/>
  <c r="O19" i="23"/>
  <c r="T16" i="23"/>
  <c r="O24" i="23"/>
  <c r="T20" i="23"/>
  <c r="O28" i="23"/>
  <c r="T26" i="23"/>
  <c r="T34" i="23"/>
  <c r="O38" i="23"/>
  <c r="O39" i="23" s="1"/>
  <c r="O44" i="23"/>
  <c r="T40" i="23"/>
  <c r="C8" i="24"/>
  <c r="H8" i="24" s="1"/>
  <c r="U8" i="23"/>
  <c r="C10" i="24"/>
  <c r="H10" i="24" s="1"/>
  <c r="C15" i="23"/>
  <c r="H12" i="23"/>
  <c r="C14" i="25"/>
  <c r="H14" i="25" s="1"/>
  <c r="U14" i="24"/>
  <c r="C19" i="23"/>
  <c r="H16" i="23"/>
  <c r="C18" i="24"/>
  <c r="H18" i="24" s="1"/>
  <c r="U18" i="23"/>
  <c r="C22" i="24"/>
  <c r="H22" i="24" s="1"/>
  <c r="C26" i="23"/>
  <c r="U26" i="22"/>
  <c r="C30" i="24"/>
  <c r="H30" i="24" s="1"/>
  <c r="U30" i="23"/>
  <c r="C32" i="24"/>
  <c r="H32" i="24" s="1"/>
  <c r="U32" i="23"/>
  <c r="C34" i="23"/>
  <c r="U34" i="22"/>
  <c r="C36" i="24"/>
  <c r="H36" i="24" s="1"/>
  <c r="U36" i="23"/>
  <c r="C40" i="23"/>
  <c r="U40" i="22"/>
  <c r="C42" i="24"/>
  <c r="H42" i="24" s="1"/>
  <c r="U42" i="23"/>
  <c r="C46" i="24"/>
  <c r="H46" i="24" s="1"/>
  <c r="U46" i="23"/>
  <c r="C48" i="25"/>
  <c r="H48" i="25" s="1"/>
  <c r="U48" i="24"/>
  <c r="U12" i="22"/>
  <c r="I12" i="23"/>
  <c r="U16" i="22"/>
  <c r="I16" i="23"/>
  <c r="I28" i="23"/>
  <c r="N26" i="23"/>
  <c r="I38" i="23"/>
  <c r="N34" i="23"/>
  <c r="J53" i="22"/>
  <c r="D49" i="21"/>
  <c r="F49" i="21"/>
  <c r="I49" i="21"/>
  <c r="J49" i="21"/>
  <c r="J50" i="21" s="1"/>
  <c r="L49" i="21"/>
  <c r="L50" i="21" s="1"/>
  <c r="O49" i="21"/>
  <c r="T49" i="21" s="1"/>
  <c r="P49" i="21"/>
  <c r="R49" i="21"/>
  <c r="D44" i="21"/>
  <c r="F44" i="21"/>
  <c r="F50" i="21" s="1"/>
  <c r="I44" i="21"/>
  <c r="N44" i="21" s="1"/>
  <c r="J44" i="21"/>
  <c r="L44" i="21"/>
  <c r="O44" i="21"/>
  <c r="P44" i="21"/>
  <c r="R44" i="21"/>
  <c r="R50" i="21" s="1"/>
  <c r="D38" i="21"/>
  <c r="F38" i="21"/>
  <c r="I38" i="21"/>
  <c r="J38" i="21"/>
  <c r="L38" i="21"/>
  <c r="O38" i="21"/>
  <c r="P38" i="21"/>
  <c r="R38" i="21"/>
  <c r="F33" i="21"/>
  <c r="I33" i="21"/>
  <c r="N33" i="21" s="1"/>
  <c r="J33" i="21"/>
  <c r="L33" i="21"/>
  <c r="O33" i="21"/>
  <c r="P33" i="21"/>
  <c r="R33" i="21"/>
  <c r="D28" i="21"/>
  <c r="F28" i="21"/>
  <c r="I28" i="21"/>
  <c r="J28" i="21"/>
  <c r="L28" i="21"/>
  <c r="L39" i="21" s="1"/>
  <c r="O28" i="21"/>
  <c r="T28" i="21" s="1"/>
  <c r="P28" i="21"/>
  <c r="R28" i="21"/>
  <c r="F24" i="21"/>
  <c r="I24" i="21"/>
  <c r="L24" i="21"/>
  <c r="O24" i="21"/>
  <c r="T24" i="21" s="1"/>
  <c r="P24" i="21"/>
  <c r="R24" i="21"/>
  <c r="L25" i="21"/>
  <c r="D19" i="21"/>
  <c r="F19" i="21"/>
  <c r="I19" i="21"/>
  <c r="N19" i="21" s="1"/>
  <c r="J19" i="21"/>
  <c r="L19" i="21"/>
  <c r="O19" i="21"/>
  <c r="P19" i="21"/>
  <c r="P25" i="21" s="1"/>
  <c r="R19" i="21"/>
  <c r="D15" i="21"/>
  <c r="F15" i="21"/>
  <c r="I15" i="21"/>
  <c r="N15" i="21" s="1"/>
  <c r="J15" i="21"/>
  <c r="L15" i="21"/>
  <c r="O15" i="21"/>
  <c r="P15" i="21"/>
  <c r="R15" i="21"/>
  <c r="D11" i="21"/>
  <c r="F11" i="21"/>
  <c r="I11" i="21"/>
  <c r="L11" i="21"/>
  <c r="O11" i="21"/>
  <c r="P11" i="21"/>
  <c r="R11" i="21"/>
  <c r="P39" i="21" l="1"/>
  <c r="I39" i="21"/>
  <c r="N38" i="21"/>
  <c r="F39" i="21"/>
  <c r="L51" i="21"/>
  <c r="T11" i="21"/>
  <c r="T15" i="21"/>
  <c r="T19" i="21"/>
  <c r="O25" i="21"/>
  <c r="T25" i="21" s="1"/>
  <c r="R25" i="21"/>
  <c r="I25" i="21"/>
  <c r="F25" i="21"/>
  <c r="F51" i="21" s="1"/>
  <c r="N28" i="21"/>
  <c r="T33" i="21"/>
  <c r="O39" i="21"/>
  <c r="T38" i="21"/>
  <c r="J39" i="21"/>
  <c r="T44" i="21"/>
  <c r="O50" i="21"/>
  <c r="P50" i="21"/>
  <c r="I50" i="21"/>
  <c r="N49" i="21"/>
  <c r="D50" i="21"/>
  <c r="C48" i="26"/>
  <c r="H48" i="26" s="1"/>
  <c r="U48" i="25"/>
  <c r="C46" i="25"/>
  <c r="H46" i="25" s="1"/>
  <c r="U46" i="24"/>
  <c r="C42" i="25"/>
  <c r="H42" i="25" s="1"/>
  <c r="U42" i="24"/>
  <c r="C44" i="23"/>
  <c r="H40" i="23"/>
  <c r="C36" i="25"/>
  <c r="H36" i="25" s="1"/>
  <c r="U36" i="24"/>
  <c r="C38" i="23"/>
  <c r="H34" i="23"/>
  <c r="C32" i="25"/>
  <c r="H32" i="25" s="1"/>
  <c r="U32" i="24"/>
  <c r="C30" i="25"/>
  <c r="H30" i="25" s="1"/>
  <c r="U30" i="24"/>
  <c r="C28" i="23"/>
  <c r="H26" i="23"/>
  <c r="C22" i="25"/>
  <c r="H22" i="25" s="1"/>
  <c r="C18" i="25"/>
  <c r="H18" i="25" s="1"/>
  <c r="U18" i="24"/>
  <c r="C14" i="26"/>
  <c r="H14" i="26" s="1"/>
  <c r="U14" i="25"/>
  <c r="C10" i="25"/>
  <c r="H10" i="25" s="1"/>
  <c r="C8" i="25"/>
  <c r="H8" i="25" s="1"/>
  <c r="U8" i="24"/>
  <c r="O34" i="24"/>
  <c r="T38" i="23"/>
  <c r="I39" i="23"/>
  <c r="U47" i="24"/>
  <c r="C47" i="25"/>
  <c r="H47" i="25" s="1"/>
  <c r="C49" i="23"/>
  <c r="C50" i="23" s="1"/>
  <c r="H45" i="23"/>
  <c r="C43" i="25"/>
  <c r="H43" i="25" s="1"/>
  <c r="U43" i="24"/>
  <c r="C41" i="25"/>
  <c r="H41" i="25" s="1"/>
  <c r="U41" i="24"/>
  <c r="C35" i="26"/>
  <c r="H35" i="26" s="1"/>
  <c r="U35" i="25"/>
  <c r="H29" i="23"/>
  <c r="C27" i="25"/>
  <c r="H27" i="25" s="1"/>
  <c r="U27" i="24"/>
  <c r="C23" i="25"/>
  <c r="H23" i="25" s="1"/>
  <c r="C21" i="25"/>
  <c r="H21" i="25" s="1"/>
  <c r="C17" i="25"/>
  <c r="H17" i="25" s="1"/>
  <c r="U17" i="24"/>
  <c r="O45" i="24"/>
  <c r="T49" i="23"/>
  <c r="O29" i="24"/>
  <c r="T33" i="23"/>
  <c r="C13" i="26"/>
  <c r="H13" i="26" s="1"/>
  <c r="U13" i="25"/>
  <c r="T50" i="22"/>
  <c r="H50" i="22"/>
  <c r="U34" i="23"/>
  <c r="U38" i="23" s="1"/>
  <c r="I34" i="24"/>
  <c r="N38" i="23"/>
  <c r="I26" i="24"/>
  <c r="N28" i="23"/>
  <c r="I19" i="23"/>
  <c r="N16" i="23"/>
  <c r="I15" i="23"/>
  <c r="N12" i="23"/>
  <c r="H19" i="23"/>
  <c r="C16" i="24"/>
  <c r="C12" i="24"/>
  <c r="H15" i="23"/>
  <c r="U12" i="23"/>
  <c r="U15" i="23" s="1"/>
  <c r="O40" i="24"/>
  <c r="T44" i="23"/>
  <c r="O26" i="24"/>
  <c r="T28" i="23"/>
  <c r="T24" i="23"/>
  <c r="O20" i="24"/>
  <c r="O16" i="24"/>
  <c r="T19" i="23"/>
  <c r="O12" i="24"/>
  <c r="T15" i="23"/>
  <c r="N49" i="23"/>
  <c r="N50" i="23" s="1"/>
  <c r="I45" i="24"/>
  <c r="I29" i="24"/>
  <c r="N33" i="23"/>
  <c r="C9" i="25"/>
  <c r="H9" i="25" s="1"/>
  <c r="U9" i="24"/>
  <c r="U38" i="22"/>
  <c r="N50" i="22"/>
  <c r="U37" i="24"/>
  <c r="C37" i="25"/>
  <c r="H37" i="25" s="1"/>
  <c r="M60" i="22"/>
  <c r="O58" i="22"/>
  <c r="I63" i="22"/>
  <c r="N58" i="22"/>
  <c r="H63" i="22"/>
  <c r="M59" i="22"/>
  <c r="M57" i="22"/>
  <c r="H62" i="22"/>
  <c r="H59" i="22"/>
  <c r="N56" i="22"/>
  <c r="P51" i="21"/>
  <c r="R39" i="21"/>
  <c r="R51" i="21" s="1"/>
  <c r="J10" i="21"/>
  <c r="I49" i="24" l="1"/>
  <c r="I50" i="24" s="1"/>
  <c r="N45" i="24"/>
  <c r="C19" i="24"/>
  <c r="H16" i="24"/>
  <c r="I12" i="24"/>
  <c r="N15" i="23"/>
  <c r="N19" i="23"/>
  <c r="I16" i="24"/>
  <c r="C13" i="27"/>
  <c r="H13" i="27" s="1"/>
  <c r="U13" i="27" s="1"/>
  <c r="U13" i="26"/>
  <c r="O33" i="24"/>
  <c r="T29" i="24"/>
  <c r="O49" i="24"/>
  <c r="T45" i="24"/>
  <c r="C21" i="26"/>
  <c r="H21" i="26" s="1"/>
  <c r="C27" i="26"/>
  <c r="H27" i="26" s="1"/>
  <c r="U27" i="25"/>
  <c r="C35" i="27"/>
  <c r="H35" i="27" s="1"/>
  <c r="U35" i="27" s="1"/>
  <c r="U35" i="26"/>
  <c r="C41" i="26"/>
  <c r="H41" i="26" s="1"/>
  <c r="U41" i="25"/>
  <c r="C43" i="26"/>
  <c r="H43" i="26" s="1"/>
  <c r="U43" i="25"/>
  <c r="T39" i="23"/>
  <c r="C18" i="26"/>
  <c r="H18" i="26" s="1"/>
  <c r="U18" i="25"/>
  <c r="N10" i="21"/>
  <c r="I10" i="22" s="1"/>
  <c r="N10" i="22" s="1"/>
  <c r="J11" i="21"/>
  <c r="N11" i="21" s="1"/>
  <c r="C37" i="26"/>
  <c r="H37" i="26" s="1"/>
  <c r="U37" i="25"/>
  <c r="I33" i="24"/>
  <c r="N29" i="24"/>
  <c r="O15" i="24"/>
  <c r="T12" i="24"/>
  <c r="O19" i="24"/>
  <c r="T16" i="24"/>
  <c r="O28" i="24"/>
  <c r="T26" i="24"/>
  <c r="T40" i="24"/>
  <c r="O44" i="24"/>
  <c r="U16" i="23"/>
  <c r="U19" i="23" s="1"/>
  <c r="I28" i="24"/>
  <c r="N26" i="24"/>
  <c r="I38" i="24"/>
  <c r="I39" i="24" s="1"/>
  <c r="N34" i="24"/>
  <c r="U50" i="22"/>
  <c r="T50" i="23"/>
  <c r="C29" i="24"/>
  <c r="U29" i="23"/>
  <c r="C45" i="24"/>
  <c r="U45" i="23"/>
  <c r="U49" i="23" s="1"/>
  <c r="H49" i="23"/>
  <c r="H50" i="23" s="1"/>
  <c r="C47" i="26"/>
  <c r="H47" i="26" s="1"/>
  <c r="U47" i="25"/>
  <c r="O38" i="24"/>
  <c r="T34" i="24"/>
  <c r="C8" i="26"/>
  <c r="H8" i="26" s="1"/>
  <c r="U8" i="25"/>
  <c r="C10" i="26"/>
  <c r="H10" i="26" s="1"/>
  <c r="C14" i="27"/>
  <c r="H14" i="27" s="1"/>
  <c r="U14" i="27" s="1"/>
  <c r="U14" i="26"/>
  <c r="C26" i="24"/>
  <c r="U26" i="23"/>
  <c r="U28" i="23" s="1"/>
  <c r="H28" i="23"/>
  <c r="C34" i="24"/>
  <c r="H38" i="23"/>
  <c r="H44" i="23"/>
  <c r="C40" i="24"/>
  <c r="U40" i="23"/>
  <c r="U44" i="23" s="1"/>
  <c r="I51" i="21"/>
  <c r="N50" i="21"/>
  <c r="O51" i="21"/>
  <c r="T51" i="21" s="1"/>
  <c r="T50" i="21"/>
  <c r="T39" i="21"/>
  <c r="N39" i="21"/>
  <c r="C9" i="26"/>
  <c r="H9" i="26" s="1"/>
  <c r="U9" i="25"/>
  <c r="O24" i="24"/>
  <c r="T20" i="24"/>
  <c r="C15" i="24"/>
  <c r="H12" i="24"/>
  <c r="N39" i="23"/>
  <c r="C17" i="26"/>
  <c r="H17" i="26" s="1"/>
  <c r="U17" i="25"/>
  <c r="C23" i="26"/>
  <c r="H23" i="26" s="1"/>
  <c r="C22" i="26"/>
  <c r="H22" i="26" s="1"/>
  <c r="C30" i="26"/>
  <c r="H30" i="26" s="1"/>
  <c r="U30" i="25"/>
  <c r="C32" i="26"/>
  <c r="H32" i="26" s="1"/>
  <c r="U32" i="25"/>
  <c r="C36" i="26"/>
  <c r="H36" i="26" s="1"/>
  <c r="U36" i="25"/>
  <c r="C42" i="26"/>
  <c r="H42" i="26" s="1"/>
  <c r="U42" i="25"/>
  <c r="C46" i="26"/>
  <c r="H46" i="26" s="1"/>
  <c r="U46" i="25"/>
  <c r="C48" i="27"/>
  <c r="H48" i="27" s="1"/>
  <c r="U48" i="27" s="1"/>
  <c r="U48" i="26"/>
  <c r="D31" i="21"/>
  <c r="U10" i="21"/>
  <c r="U8" i="21"/>
  <c r="U9" i="21"/>
  <c r="U12" i="21"/>
  <c r="U13" i="21"/>
  <c r="U14" i="21"/>
  <c r="U16" i="21"/>
  <c r="U17" i="21"/>
  <c r="U18" i="21"/>
  <c r="U22" i="21"/>
  <c r="U26" i="21"/>
  <c r="U27" i="21"/>
  <c r="U30" i="21"/>
  <c r="U32" i="21"/>
  <c r="U34" i="21"/>
  <c r="U40" i="21"/>
  <c r="U41" i="21"/>
  <c r="U42" i="21"/>
  <c r="U43" i="21"/>
  <c r="U45" i="21"/>
  <c r="U46" i="21"/>
  <c r="U47" i="21"/>
  <c r="U48" i="21"/>
  <c r="T7" i="21"/>
  <c r="O7" i="22" s="1"/>
  <c r="J21" i="21"/>
  <c r="N21" i="21" s="1"/>
  <c r="I21" i="22" s="1"/>
  <c r="N21" i="22" s="1"/>
  <c r="J22" i="21"/>
  <c r="N22" i="21" s="1"/>
  <c r="I22" i="22" s="1"/>
  <c r="N22" i="22" s="1"/>
  <c r="J23" i="21"/>
  <c r="N23" i="21" s="1"/>
  <c r="I23" i="22" s="1"/>
  <c r="N23" i="22" s="1"/>
  <c r="J20" i="21"/>
  <c r="N7" i="21"/>
  <c r="D20" i="21"/>
  <c r="H7" i="21"/>
  <c r="C7" i="22" s="1"/>
  <c r="U7" i="21" l="1"/>
  <c r="I7" i="22"/>
  <c r="I21" i="23"/>
  <c r="N21" i="23" s="1"/>
  <c r="U21" i="22"/>
  <c r="C11" i="22"/>
  <c r="H11" i="22" s="1"/>
  <c r="H7" i="22"/>
  <c r="H20" i="21"/>
  <c r="D24" i="21"/>
  <c r="D25" i="21" s="1"/>
  <c r="N20" i="21"/>
  <c r="I20" i="22" s="1"/>
  <c r="J24" i="21"/>
  <c r="I22" i="23"/>
  <c r="N22" i="23" s="1"/>
  <c r="U22" i="22"/>
  <c r="O11" i="22"/>
  <c r="T7" i="22"/>
  <c r="O7" i="23" s="1"/>
  <c r="U23" i="21"/>
  <c r="U21" i="21"/>
  <c r="C46" i="27"/>
  <c r="H46" i="27" s="1"/>
  <c r="U46" i="27" s="1"/>
  <c r="U46" i="26"/>
  <c r="C42" i="27"/>
  <c r="H42" i="27" s="1"/>
  <c r="U42" i="27" s="1"/>
  <c r="U42" i="26"/>
  <c r="C36" i="27"/>
  <c r="H36" i="27" s="1"/>
  <c r="U36" i="27" s="1"/>
  <c r="U36" i="26"/>
  <c r="C32" i="27"/>
  <c r="H32" i="27" s="1"/>
  <c r="U32" i="27" s="1"/>
  <c r="U32" i="26"/>
  <c r="C30" i="27"/>
  <c r="H30" i="27" s="1"/>
  <c r="U30" i="27" s="1"/>
  <c r="U30" i="26"/>
  <c r="C22" i="27"/>
  <c r="H22" i="27" s="1"/>
  <c r="C9" i="27"/>
  <c r="H9" i="27" s="1"/>
  <c r="U9" i="27" s="1"/>
  <c r="U9" i="26"/>
  <c r="C38" i="24"/>
  <c r="H34" i="24"/>
  <c r="C28" i="24"/>
  <c r="H26" i="24"/>
  <c r="C10" i="27"/>
  <c r="H10" i="27" s="1"/>
  <c r="C8" i="27"/>
  <c r="H8" i="27" s="1"/>
  <c r="U8" i="27" s="1"/>
  <c r="U8" i="26"/>
  <c r="O39" i="24"/>
  <c r="C47" i="27"/>
  <c r="H47" i="27" s="1"/>
  <c r="U47" i="27" s="1"/>
  <c r="U47" i="26"/>
  <c r="U50" i="23"/>
  <c r="O26" i="25"/>
  <c r="T26" i="25" s="1"/>
  <c r="T28" i="24"/>
  <c r="O28" i="25" s="1"/>
  <c r="C37" i="27"/>
  <c r="H37" i="27" s="1"/>
  <c r="U37" i="27" s="1"/>
  <c r="U37" i="26"/>
  <c r="I10" i="23"/>
  <c r="N10" i="23" s="1"/>
  <c r="U10" i="22"/>
  <c r="C18" i="27"/>
  <c r="H18" i="27" s="1"/>
  <c r="U18" i="27" s="1"/>
  <c r="U18" i="26"/>
  <c r="T49" i="24"/>
  <c r="O45" i="25"/>
  <c r="T45" i="25" s="1"/>
  <c r="O29" i="25"/>
  <c r="T29" i="25" s="1"/>
  <c r="T33" i="24"/>
  <c r="O33" i="25" s="1"/>
  <c r="I15" i="24"/>
  <c r="N12" i="24"/>
  <c r="I23" i="23"/>
  <c r="N23" i="23" s="1"/>
  <c r="U23" i="22"/>
  <c r="H31" i="21"/>
  <c r="D33" i="21"/>
  <c r="D39" i="21" s="1"/>
  <c r="D51" i="21" s="1"/>
  <c r="C23" i="27"/>
  <c r="H23" i="27" s="1"/>
  <c r="C17" i="27"/>
  <c r="H17" i="27" s="1"/>
  <c r="U17" i="27" s="1"/>
  <c r="U17" i="26"/>
  <c r="C12" i="25"/>
  <c r="H12" i="25" s="1"/>
  <c r="H15" i="24"/>
  <c r="C15" i="25" s="1"/>
  <c r="U12" i="24"/>
  <c r="U15" i="24" s="1"/>
  <c r="O20" i="25"/>
  <c r="T20" i="25" s="1"/>
  <c r="T24" i="24"/>
  <c r="C44" i="24"/>
  <c r="H40" i="24"/>
  <c r="O34" i="25"/>
  <c r="T34" i="25" s="1"/>
  <c r="T38" i="24"/>
  <c r="C49" i="24"/>
  <c r="C50" i="24" s="1"/>
  <c r="H45" i="24"/>
  <c r="H29" i="24"/>
  <c r="N38" i="24"/>
  <c r="I34" i="25"/>
  <c r="N34" i="25" s="1"/>
  <c r="I26" i="25"/>
  <c r="N26" i="25" s="1"/>
  <c r="N28" i="24"/>
  <c r="I28" i="25" s="1"/>
  <c r="O40" i="25"/>
  <c r="T40" i="25" s="1"/>
  <c r="T44" i="24"/>
  <c r="O44" i="25" s="1"/>
  <c r="O16" i="25"/>
  <c r="T16" i="25" s="1"/>
  <c r="T19" i="24"/>
  <c r="O19" i="25" s="1"/>
  <c r="O12" i="25"/>
  <c r="T12" i="25" s="1"/>
  <c r="T15" i="24"/>
  <c r="O15" i="25" s="1"/>
  <c r="I29" i="25"/>
  <c r="N29" i="25" s="1"/>
  <c r="N33" i="24"/>
  <c r="I33" i="25" s="1"/>
  <c r="C43" i="27"/>
  <c r="H43" i="27" s="1"/>
  <c r="U43" i="27" s="1"/>
  <c r="U43" i="26"/>
  <c r="C41" i="27"/>
  <c r="H41" i="27" s="1"/>
  <c r="U41" i="27" s="1"/>
  <c r="U41" i="26"/>
  <c r="C27" i="27"/>
  <c r="H27" i="27" s="1"/>
  <c r="U27" i="27" s="1"/>
  <c r="U27" i="26"/>
  <c r="C21" i="27"/>
  <c r="H21" i="27" s="1"/>
  <c r="O50" i="24"/>
  <c r="I19" i="24"/>
  <c r="N16" i="24"/>
  <c r="H19" i="24"/>
  <c r="C19" i="25" s="1"/>
  <c r="C16" i="25"/>
  <c r="H16" i="25" s="1"/>
  <c r="N49" i="24"/>
  <c r="I45" i="25"/>
  <c r="N45" i="25" s="1"/>
  <c r="U28" i="21"/>
  <c r="U49" i="21"/>
  <c r="U44" i="21"/>
  <c r="U19" i="21"/>
  <c r="U11" i="21"/>
  <c r="U15" i="21"/>
  <c r="U36" i="21"/>
  <c r="U29" i="21"/>
  <c r="U35" i="21"/>
  <c r="U37" i="21"/>
  <c r="K14" i="21"/>
  <c r="K14" i="22" s="1"/>
  <c r="K14" i="23" s="1"/>
  <c r="K14" i="24" s="1"/>
  <c r="K14" i="25" s="1"/>
  <c r="K14" i="26" s="1"/>
  <c r="K14" i="27" s="1"/>
  <c r="N50" i="24" l="1"/>
  <c r="I50" i="25" s="1"/>
  <c r="I49" i="25"/>
  <c r="N19" i="24"/>
  <c r="I19" i="25" s="1"/>
  <c r="I16" i="25"/>
  <c r="N16" i="25" s="1"/>
  <c r="O12" i="26"/>
  <c r="T15" i="25"/>
  <c r="O16" i="26"/>
  <c r="T19" i="25"/>
  <c r="I26" i="26"/>
  <c r="N28" i="25"/>
  <c r="I38" i="25"/>
  <c r="N39" i="24"/>
  <c r="I39" i="25" s="1"/>
  <c r="O34" i="26"/>
  <c r="T38" i="25"/>
  <c r="O24" i="25"/>
  <c r="I45" i="26"/>
  <c r="N49" i="25"/>
  <c r="N50" i="25" s="1"/>
  <c r="U16" i="24"/>
  <c r="U19" i="24" s="1"/>
  <c r="I34" i="26"/>
  <c r="N38" i="25"/>
  <c r="C29" i="25"/>
  <c r="H29" i="25" s="1"/>
  <c r="U29" i="24"/>
  <c r="C45" i="25"/>
  <c r="H45" i="25" s="1"/>
  <c r="H49" i="24"/>
  <c r="U45" i="24"/>
  <c r="U49" i="24" s="1"/>
  <c r="O38" i="25"/>
  <c r="T39" i="24"/>
  <c r="O39" i="25" s="1"/>
  <c r="T24" i="25"/>
  <c r="O20" i="26"/>
  <c r="O29" i="26"/>
  <c r="T33" i="25"/>
  <c r="T50" i="24"/>
  <c r="O49" i="25"/>
  <c r="I10" i="24"/>
  <c r="N10" i="24" s="1"/>
  <c r="U10" i="23"/>
  <c r="T28" i="25"/>
  <c r="O26" i="26"/>
  <c r="H28" i="24"/>
  <c r="C28" i="25" s="1"/>
  <c r="C26" i="25"/>
  <c r="H26" i="25" s="1"/>
  <c r="U26" i="24"/>
  <c r="U28" i="24" s="1"/>
  <c r="H38" i="24"/>
  <c r="C34" i="25"/>
  <c r="H34" i="25" s="1"/>
  <c r="U34" i="24"/>
  <c r="U38" i="24" s="1"/>
  <c r="O11" i="23"/>
  <c r="O25" i="23" s="1"/>
  <c r="O51" i="23" s="1"/>
  <c r="T7" i="23"/>
  <c r="J25" i="21"/>
  <c r="N24" i="21"/>
  <c r="C7" i="23"/>
  <c r="I11" i="22"/>
  <c r="N11" i="22" s="1"/>
  <c r="N7" i="22"/>
  <c r="I7" i="23" s="1"/>
  <c r="C16" i="26"/>
  <c r="H19" i="25"/>
  <c r="U16" i="25"/>
  <c r="U19" i="25" s="1"/>
  <c r="I29" i="26"/>
  <c r="N33" i="25"/>
  <c r="T44" i="25"/>
  <c r="O40" i="26"/>
  <c r="H44" i="24"/>
  <c r="C44" i="25" s="1"/>
  <c r="C40" i="25"/>
  <c r="H40" i="25" s="1"/>
  <c r="U40" i="24"/>
  <c r="U44" i="24" s="1"/>
  <c r="U50" i="24" s="1"/>
  <c r="C12" i="26"/>
  <c r="H15" i="25"/>
  <c r="C31" i="22"/>
  <c r="U31" i="21"/>
  <c r="U33" i="21" s="1"/>
  <c r="I23" i="24"/>
  <c r="N23" i="24" s="1"/>
  <c r="U23" i="23"/>
  <c r="I12" i="25"/>
  <c r="N12" i="25" s="1"/>
  <c r="U12" i="25" s="1"/>
  <c r="U15" i="25" s="1"/>
  <c r="N15" i="24"/>
  <c r="I15" i="25" s="1"/>
  <c r="O45" i="26"/>
  <c r="T49" i="25"/>
  <c r="T11" i="22"/>
  <c r="O25" i="22"/>
  <c r="I22" i="24"/>
  <c r="N22" i="24" s="1"/>
  <c r="U22" i="23"/>
  <c r="N20" i="22"/>
  <c r="I20" i="23" s="1"/>
  <c r="I24" i="22"/>
  <c r="C20" i="22"/>
  <c r="U20" i="21"/>
  <c r="U24" i="21" s="1"/>
  <c r="U25" i="21" s="1"/>
  <c r="I21" i="24"/>
  <c r="N21" i="24" s="1"/>
  <c r="U21" i="23"/>
  <c r="U50" i="21"/>
  <c r="U38" i="21"/>
  <c r="S8" i="21"/>
  <c r="S8" i="22" s="1"/>
  <c r="S8" i="23" s="1"/>
  <c r="S8" i="24" s="1"/>
  <c r="S8" i="25" s="1"/>
  <c r="S8" i="26" s="1"/>
  <c r="S8" i="27" s="1"/>
  <c r="S9" i="21"/>
  <c r="S9" i="22" s="1"/>
  <c r="S9" i="23" s="1"/>
  <c r="S9" i="24" s="1"/>
  <c r="S9" i="25" s="1"/>
  <c r="S9" i="26" s="1"/>
  <c r="S9" i="27" s="1"/>
  <c r="S10" i="21"/>
  <c r="S10" i="22" s="1"/>
  <c r="S10" i="23" s="1"/>
  <c r="S10" i="24" s="1"/>
  <c r="S10" i="25" s="1"/>
  <c r="S10" i="26" s="1"/>
  <c r="S10" i="27" s="1"/>
  <c r="S12" i="21"/>
  <c r="S13" i="21"/>
  <c r="S13" i="22" s="1"/>
  <c r="S13" i="23" s="1"/>
  <c r="S13" i="24" s="1"/>
  <c r="S13" i="25" s="1"/>
  <c r="S13" i="26" s="1"/>
  <c r="S13" i="27" s="1"/>
  <c r="S14" i="21"/>
  <c r="S14" i="22" s="1"/>
  <c r="S14" i="23" s="1"/>
  <c r="S14" i="24" s="1"/>
  <c r="S14" i="25" s="1"/>
  <c r="S14" i="26" s="1"/>
  <c r="S14" i="27" s="1"/>
  <c r="S16" i="21"/>
  <c r="S17" i="21"/>
  <c r="S17" i="22" s="1"/>
  <c r="S17" i="23" s="1"/>
  <c r="S18" i="21"/>
  <c r="S18" i="22" s="1"/>
  <c r="S18" i="23" s="1"/>
  <c r="S18" i="24" s="1"/>
  <c r="S18" i="25" s="1"/>
  <c r="S18" i="26" s="1"/>
  <c r="S18" i="27" s="1"/>
  <c r="S20" i="21"/>
  <c r="S21" i="21"/>
  <c r="S21" i="22" s="1"/>
  <c r="S21" i="23" s="1"/>
  <c r="S21" i="24" s="1"/>
  <c r="S21" i="25" s="1"/>
  <c r="S21" i="26" s="1"/>
  <c r="S21" i="27" s="1"/>
  <c r="S22" i="21"/>
  <c r="S22" i="22" s="1"/>
  <c r="S22" i="23" s="1"/>
  <c r="S22" i="24" s="1"/>
  <c r="S22" i="25" s="1"/>
  <c r="S22" i="26" s="1"/>
  <c r="S22" i="27" s="1"/>
  <c r="S23" i="21"/>
  <c r="S23" i="22" s="1"/>
  <c r="S23" i="23" s="1"/>
  <c r="S23" i="24" s="1"/>
  <c r="S23" i="25" s="1"/>
  <c r="S23" i="26" s="1"/>
  <c r="S23" i="27" s="1"/>
  <c r="S26" i="21"/>
  <c r="S27" i="21"/>
  <c r="S27" i="22" s="1"/>
  <c r="S27" i="23" s="1"/>
  <c r="S27" i="24" s="1"/>
  <c r="S27" i="25" s="1"/>
  <c r="S27" i="26" s="1"/>
  <c r="S27" i="27" s="1"/>
  <c r="S29" i="21"/>
  <c r="S30" i="21"/>
  <c r="S30" i="22" s="1"/>
  <c r="S30" i="23" s="1"/>
  <c r="S30" i="24" s="1"/>
  <c r="S30" i="25" s="1"/>
  <c r="S30" i="26" s="1"/>
  <c r="S30" i="27" s="1"/>
  <c r="S31" i="21"/>
  <c r="S31" i="22" s="1"/>
  <c r="S31" i="23" s="1"/>
  <c r="S31" i="24" s="1"/>
  <c r="S31" i="25" s="1"/>
  <c r="S31" i="26" s="1"/>
  <c r="S31" i="27" s="1"/>
  <c r="S32" i="21"/>
  <c r="S32" i="22" s="1"/>
  <c r="S32" i="23" s="1"/>
  <c r="S32" i="24" s="1"/>
  <c r="S32" i="25" s="1"/>
  <c r="S32" i="26" s="1"/>
  <c r="S32" i="27" s="1"/>
  <c r="S34" i="21"/>
  <c r="S35" i="21"/>
  <c r="S35" i="22" s="1"/>
  <c r="S35" i="23" s="1"/>
  <c r="S35" i="24" s="1"/>
  <c r="S35" i="25" s="1"/>
  <c r="S35" i="26" s="1"/>
  <c r="S35" i="27" s="1"/>
  <c r="S36" i="21"/>
  <c r="S36" i="22" s="1"/>
  <c r="S36" i="23" s="1"/>
  <c r="S36" i="24" s="1"/>
  <c r="S36" i="25" s="1"/>
  <c r="S36" i="26" s="1"/>
  <c r="S36" i="27" s="1"/>
  <c r="S37" i="21"/>
  <c r="S37" i="22" s="1"/>
  <c r="S37" i="23" s="1"/>
  <c r="S37" i="24" s="1"/>
  <c r="S37" i="25" s="1"/>
  <c r="S37" i="26" s="1"/>
  <c r="S37" i="27" s="1"/>
  <c r="S40" i="21"/>
  <c r="S41" i="21"/>
  <c r="S41" i="22" s="1"/>
  <c r="S41" i="23" s="1"/>
  <c r="S41" i="24" s="1"/>
  <c r="S41" i="25" s="1"/>
  <c r="S41" i="26" s="1"/>
  <c r="S41" i="27" s="1"/>
  <c r="S42" i="21"/>
  <c r="S42" i="22" s="1"/>
  <c r="S42" i="23" s="1"/>
  <c r="S42" i="24" s="1"/>
  <c r="S42" i="25" s="1"/>
  <c r="S42" i="26" s="1"/>
  <c r="S42" i="27" s="1"/>
  <c r="S43" i="21"/>
  <c r="S43" i="22" s="1"/>
  <c r="S43" i="23" s="1"/>
  <c r="S43" i="24" s="1"/>
  <c r="S43" i="25" s="1"/>
  <c r="S43" i="26" s="1"/>
  <c r="S43" i="27" s="1"/>
  <c r="S45" i="21"/>
  <c r="S46" i="21"/>
  <c r="S46" i="22" s="1"/>
  <c r="S46" i="23" s="1"/>
  <c r="S46" i="24" s="1"/>
  <c r="S46" i="25" s="1"/>
  <c r="S46" i="26" s="1"/>
  <c r="S46" i="27" s="1"/>
  <c r="S47" i="21"/>
  <c r="S47" i="22" s="1"/>
  <c r="S47" i="23" s="1"/>
  <c r="S47" i="24" s="1"/>
  <c r="S47" i="25" s="1"/>
  <c r="S47" i="26" s="1"/>
  <c r="S47" i="27" s="1"/>
  <c r="S48" i="21"/>
  <c r="S48" i="22" s="1"/>
  <c r="S48" i="23" s="1"/>
  <c r="S48" i="24" s="1"/>
  <c r="S48" i="25" s="1"/>
  <c r="S48" i="26" s="1"/>
  <c r="S48" i="27" s="1"/>
  <c r="S7" i="21"/>
  <c r="Q8" i="21"/>
  <c r="Q8" i="22" s="1"/>
  <c r="Q8" i="23" s="1"/>
  <c r="Q8" i="24" s="1"/>
  <c r="Q8" i="25" s="1"/>
  <c r="Q8" i="26" s="1"/>
  <c r="Q8" i="27" s="1"/>
  <c r="Q9" i="21"/>
  <c r="Q9" i="22" s="1"/>
  <c r="Q9" i="23" s="1"/>
  <c r="Q9" i="24" s="1"/>
  <c r="Q9" i="25" s="1"/>
  <c r="Q9" i="26" s="1"/>
  <c r="Q9" i="27" s="1"/>
  <c r="Q10" i="21"/>
  <c r="Q10" i="22" s="1"/>
  <c r="Q10" i="23" s="1"/>
  <c r="Q10" i="24" s="1"/>
  <c r="Q10" i="25" s="1"/>
  <c r="Q10" i="26" s="1"/>
  <c r="Q10" i="27" s="1"/>
  <c r="Q12" i="21"/>
  <c r="Q13" i="21"/>
  <c r="Q13" i="22" s="1"/>
  <c r="Q13" i="23" s="1"/>
  <c r="Q13" i="24" s="1"/>
  <c r="Q13" i="25" s="1"/>
  <c r="Q13" i="26" s="1"/>
  <c r="Q13" i="27" s="1"/>
  <c r="Q14" i="21"/>
  <c r="Q14" i="22" s="1"/>
  <c r="Q14" i="23" s="1"/>
  <c r="Q14" i="24" s="1"/>
  <c r="Q14" i="25" s="1"/>
  <c r="Q14" i="26" s="1"/>
  <c r="Q14" i="27" s="1"/>
  <c r="Q16" i="21"/>
  <c r="Q17" i="21"/>
  <c r="Q17" i="22" s="1"/>
  <c r="Q17" i="23" s="1"/>
  <c r="Q18" i="21"/>
  <c r="Q18" i="22" s="1"/>
  <c r="Q18" i="23" s="1"/>
  <c r="Q18" i="24" s="1"/>
  <c r="Q18" i="25" s="1"/>
  <c r="Q18" i="26" s="1"/>
  <c r="Q20" i="21"/>
  <c r="Q21" i="21"/>
  <c r="Q21" i="22" s="1"/>
  <c r="Q21" i="23" s="1"/>
  <c r="Q21" i="24" s="1"/>
  <c r="Q22" i="21"/>
  <c r="Q22" i="22" s="1"/>
  <c r="Q22" i="23" s="1"/>
  <c r="Q22" i="24" s="1"/>
  <c r="Q22" i="25" s="1"/>
  <c r="Q22" i="26" s="1"/>
  <c r="Q22" i="27" s="1"/>
  <c r="Q23" i="21"/>
  <c r="Q23" i="22" s="1"/>
  <c r="Q23" i="23" s="1"/>
  <c r="Q23" i="24" s="1"/>
  <c r="Q23" i="25" s="1"/>
  <c r="Q23" i="26" s="1"/>
  <c r="Q23" i="27" s="1"/>
  <c r="Q26" i="21"/>
  <c r="Q27" i="21"/>
  <c r="Q27" i="22" s="1"/>
  <c r="Q27" i="23" s="1"/>
  <c r="Q27" i="24" s="1"/>
  <c r="Q27" i="25" s="1"/>
  <c r="Q27" i="26" s="1"/>
  <c r="Q27" i="27" s="1"/>
  <c r="Q29" i="21"/>
  <c r="Q30" i="21"/>
  <c r="Q30" i="22" s="1"/>
  <c r="Q30" i="23" s="1"/>
  <c r="Q30" i="24" s="1"/>
  <c r="Q30" i="25" s="1"/>
  <c r="Q30" i="26" s="1"/>
  <c r="Q30" i="27" s="1"/>
  <c r="Q31" i="21"/>
  <c r="Q31" i="22" s="1"/>
  <c r="Q31" i="23" s="1"/>
  <c r="Q31" i="24" s="1"/>
  <c r="Q31" i="25" s="1"/>
  <c r="Q31" i="26" s="1"/>
  <c r="Q31" i="27" s="1"/>
  <c r="Q32" i="21"/>
  <c r="Q32" i="22" s="1"/>
  <c r="Q32" i="23" s="1"/>
  <c r="Q32" i="24" s="1"/>
  <c r="Q32" i="25" s="1"/>
  <c r="Q32" i="26" s="1"/>
  <c r="Q32" i="27" s="1"/>
  <c r="Q34" i="21"/>
  <c r="Q34" i="22" s="1"/>
  <c r="Q34" i="23" s="1"/>
  <c r="Q35" i="21"/>
  <c r="Q35" i="22" s="1"/>
  <c r="Q35" i="23" s="1"/>
  <c r="Q35" i="24" s="1"/>
  <c r="Q35" i="25" s="1"/>
  <c r="Q35" i="26" s="1"/>
  <c r="Q35" i="27" s="1"/>
  <c r="Q36" i="21"/>
  <c r="Q37" i="21"/>
  <c r="Q37" i="22" s="1"/>
  <c r="Q37" i="23" s="1"/>
  <c r="Q37" i="24" s="1"/>
  <c r="Q37" i="25" s="1"/>
  <c r="Q37" i="26" s="1"/>
  <c r="Q37" i="27" s="1"/>
  <c r="Q40" i="21"/>
  <c r="Q41" i="21"/>
  <c r="Q41" i="22" s="1"/>
  <c r="Q41" i="23" s="1"/>
  <c r="Q41" i="24" s="1"/>
  <c r="Q41" i="25" s="1"/>
  <c r="Q41" i="26" s="1"/>
  <c r="Q41" i="27" s="1"/>
  <c r="Q42" i="21"/>
  <c r="Q42" i="22" s="1"/>
  <c r="Q42" i="23" s="1"/>
  <c r="Q42" i="24" s="1"/>
  <c r="Q42" i="25" s="1"/>
  <c r="Q42" i="26" s="1"/>
  <c r="Q42" i="27" s="1"/>
  <c r="Q43" i="21"/>
  <c r="Q43" i="22" s="1"/>
  <c r="Q43" i="23" s="1"/>
  <c r="Q43" i="24" s="1"/>
  <c r="Q43" i="25" s="1"/>
  <c r="Q43" i="26" s="1"/>
  <c r="Q43" i="27" s="1"/>
  <c r="Q45" i="21"/>
  <c r="Q46" i="21"/>
  <c r="Q46" i="22" s="1"/>
  <c r="Q46" i="23" s="1"/>
  <c r="Q46" i="24" s="1"/>
  <c r="Q46" i="25" s="1"/>
  <c r="Q46" i="26" s="1"/>
  <c r="Q46" i="27" s="1"/>
  <c r="Q47" i="21"/>
  <c r="Q47" i="22" s="1"/>
  <c r="Q47" i="23" s="1"/>
  <c r="Q47" i="24" s="1"/>
  <c r="Q47" i="25" s="1"/>
  <c r="Q47" i="26" s="1"/>
  <c r="Q47" i="27" s="1"/>
  <c r="Q48" i="21"/>
  <c r="Q48" i="22" s="1"/>
  <c r="Q48" i="23" s="1"/>
  <c r="Q48" i="24" s="1"/>
  <c r="Q48" i="25" s="1"/>
  <c r="Q48" i="26" s="1"/>
  <c r="Q48" i="27" s="1"/>
  <c r="Q7" i="21"/>
  <c r="M8" i="21"/>
  <c r="M8" i="22" s="1"/>
  <c r="M8" i="23" s="1"/>
  <c r="M8" i="24" s="1"/>
  <c r="M8" i="25" s="1"/>
  <c r="M8" i="26" s="1"/>
  <c r="M8" i="27" s="1"/>
  <c r="M9" i="21"/>
  <c r="M9" i="22" s="1"/>
  <c r="M9" i="23" s="1"/>
  <c r="M9" i="24" s="1"/>
  <c r="M9" i="25" s="1"/>
  <c r="M9" i="26" s="1"/>
  <c r="M9" i="27" s="1"/>
  <c r="M10" i="21"/>
  <c r="M10" i="22" s="1"/>
  <c r="M10" i="23" s="1"/>
  <c r="M10" i="24" s="1"/>
  <c r="M10" i="25" s="1"/>
  <c r="M10" i="26" s="1"/>
  <c r="M10" i="27" s="1"/>
  <c r="M12" i="21"/>
  <c r="M13" i="21"/>
  <c r="M13" i="22" s="1"/>
  <c r="M13" i="23" s="1"/>
  <c r="M13" i="24" s="1"/>
  <c r="M13" i="25" s="1"/>
  <c r="M13" i="26" s="1"/>
  <c r="M13" i="27" s="1"/>
  <c r="M14" i="21"/>
  <c r="M14" i="22" s="1"/>
  <c r="M14" i="23" s="1"/>
  <c r="M14" i="24" s="1"/>
  <c r="M14" i="25" s="1"/>
  <c r="M14" i="26" s="1"/>
  <c r="M14" i="27" s="1"/>
  <c r="M16" i="21"/>
  <c r="M17" i="21"/>
  <c r="M17" i="22" s="1"/>
  <c r="M17" i="23" s="1"/>
  <c r="M17" i="24" s="1"/>
  <c r="M17" i="25" s="1"/>
  <c r="M17" i="26" s="1"/>
  <c r="M17" i="27" s="1"/>
  <c r="M18" i="21"/>
  <c r="M18" i="22" s="1"/>
  <c r="M18" i="23" s="1"/>
  <c r="M18" i="24" s="1"/>
  <c r="M18" i="25" s="1"/>
  <c r="M18" i="26" s="1"/>
  <c r="M18" i="27" s="1"/>
  <c r="M20" i="21"/>
  <c r="M21" i="21"/>
  <c r="M21" i="22" s="1"/>
  <c r="M21" i="23" s="1"/>
  <c r="M21" i="24" s="1"/>
  <c r="M21" i="25" s="1"/>
  <c r="M21" i="26" s="1"/>
  <c r="M21" i="27" s="1"/>
  <c r="M22" i="21"/>
  <c r="M22" i="22" s="1"/>
  <c r="M22" i="23" s="1"/>
  <c r="M22" i="24" s="1"/>
  <c r="M22" i="25" s="1"/>
  <c r="M22" i="26" s="1"/>
  <c r="M22" i="27" s="1"/>
  <c r="M23" i="21"/>
  <c r="M23" i="22" s="1"/>
  <c r="M23" i="23" s="1"/>
  <c r="M23" i="24" s="1"/>
  <c r="M23" i="25" s="1"/>
  <c r="M23" i="26" s="1"/>
  <c r="M23" i="27" s="1"/>
  <c r="M26" i="21"/>
  <c r="M27" i="21"/>
  <c r="M27" i="22" s="1"/>
  <c r="M27" i="23" s="1"/>
  <c r="M27" i="24" s="1"/>
  <c r="M27" i="25" s="1"/>
  <c r="M27" i="26" s="1"/>
  <c r="M27" i="27" s="1"/>
  <c r="M29" i="21"/>
  <c r="M30" i="21"/>
  <c r="M30" i="22" s="1"/>
  <c r="M30" i="23" s="1"/>
  <c r="M30" i="24" s="1"/>
  <c r="M30" i="25" s="1"/>
  <c r="M30" i="26" s="1"/>
  <c r="M30" i="27" s="1"/>
  <c r="M31" i="21"/>
  <c r="M31" i="22" s="1"/>
  <c r="M31" i="23" s="1"/>
  <c r="M31" i="24" s="1"/>
  <c r="M31" i="25" s="1"/>
  <c r="M31" i="26" s="1"/>
  <c r="M31" i="27" s="1"/>
  <c r="M32" i="21"/>
  <c r="M32" i="22" s="1"/>
  <c r="M32" i="23" s="1"/>
  <c r="M32" i="24" s="1"/>
  <c r="M32" i="25" s="1"/>
  <c r="M32" i="26" s="1"/>
  <c r="M32" i="27" s="1"/>
  <c r="M34" i="21"/>
  <c r="M35" i="21"/>
  <c r="M35" i="22" s="1"/>
  <c r="M35" i="23" s="1"/>
  <c r="M35" i="24" s="1"/>
  <c r="M35" i="25" s="1"/>
  <c r="M35" i="26" s="1"/>
  <c r="M35" i="27" s="1"/>
  <c r="M36" i="21"/>
  <c r="M36" i="22" s="1"/>
  <c r="M36" i="23" s="1"/>
  <c r="M36" i="24" s="1"/>
  <c r="M36" i="25" s="1"/>
  <c r="M36" i="26" s="1"/>
  <c r="M36" i="27" s="1"/>
  <c r="M37" i="21"/>
  <c r="M37" i="22" s="1"/>
  <c r="M37" i="23" s="1"/>
  <c r="M37" i="24" s="1"/>
  <c r="M37" i="25" s="1"/>
  <c r="M37" i="26" s="1"/>
  <c r="M37" i="27" s="1"/>
  <c r="M40" i="21"/>
  <c r="M41" i="21"/>
  <c r="M41" i="22" s="1"/>
  <c r="M41" i="23" s="1"/>
  <c r="M41" i="24" s="1"/>
  <c r="M41" i="25" s="1"/>
  <c r="M41" i="26" s="1"/>
  <c r="M41" i="27" s="1"/>
  <c r="M42" i="21"/>
  <c r="M42" i="22" s="1"/>
  <c r="M42" i="23" s="1"/>
  <c r="M42" i="24" s="1"/>
  <c r="M42" i="25" s="1"/>
  <c r="M42" i="26" s="1"/>
  <c r="M42" i="27" s="1"/>
  <c r="M43" i="21"/>
  <c r="M43" i="22" s="1"/>
  <c r="M43" i="23" s="1"/>
  <c r="M43" i="24" s="1"/>
  <c r="M43" i="25" s="1"/>
  <c r="M43" i="26" s="1"/>
  <c r="M43" i="27" s="1"/>
  <c r="M45" i="21"/>
  <c r="M46" i="21"/>
  <c r="M46" i="22" s="1"/>
  <c r="M46" i="23" s="1"/>
  <c r="M46" i="24" s="1"/>
  <c r="M46" i="25" s="1"/>
  <c r="M46" i="26" s="1"/>
  <c r="M46" i="27" s="1"/>
  <c r="M47" i="21"/>
  <c r="M47" i="22" s="1"/>
  <c r="M47" i="23" s="1"/>
  <c r="M47" i="24" s="1"/>
  <c r="M47" i="25" s="1"/>
  <c r="M47" i="26" s="1"/>
  <c r="M47" i="27" s="1"/>
  <c r="M48" i="21"/>
  <c r="M48" i="22" s="1"/>
  <c r="M48" i="23" s="1"/>
  <c r="M48" i="24" s="1"/>
  <c r="M48" i="25" s="1"/>
  <c r="M48" i="26" s="1"/>
  <c r="M48" i="27" s="1"/>
  <c r="M7" i="21"/>
  <c r="K8" i="21"/>
  <c r="K8" i="22" s="1"/>
  <c r="K8" i="23" s="1"/>
  <c r="K8" i="24" s="1"/>
  <c r="K8" i="25" s="1"/>
  <c r="K8" i="26" s="1"/>
  <c r="K8" i="27" s="1"/>
  <c r="K9" i="21"/>
  <c r="K9" i="22" s="1"/>
  <c r="K9" i="23" s="1"/>
  <c r="K9" i="24" s="1"/>
  <c r="K9" i="25" s="1"/>
  <c r="K9" i="26" s="1"/>
  <c r="K9" i="27" s="1"/>
  <c r="K10" i="21"/>
  <c r="K10" i="22" s="1"/>
  <c r="K10" i="23" s="1"/>
  <c r="K10" i="24" s="1"/>
  <c r="K10" i="25" s="1"/>
  <c r="K10" i="26" s="1"/>
  <c r="K10" i="27" s="1"/>
  <c r="K12" i="21"/>
  <c r="K13" i="21"/>
  <c r="K13" i="22" s="1"/>
  <c r="K13" i="23" s="1"/>
  <c r="K13" i="24" s="1"/>
  <c r="K13" i="25" s="1"/>
  <c r="K13" i="26" s="1"/>
  <c r="K13" i="27" s="1"/>
  <c r="K16" i="21"/>
  <c r="K17" i="21"/>
  <c r="K17" i="22" s="1"/>
  <c r="K17" i="23" s="1"/>
  <c r="K17" i="24" s="1"/>
  <c r="K17" i="25" s="1"/>
  <c r="K17" i="26" s="1"/>
  <c r="K17" i="27" s="1"/>
  <c r="K18" i="21"/>
  <c r="K18" i="22" s="1"/>
  <c r="K18" i="23" s="1"/>
  <c r="K18" i="24" s="1"/>
  <c r="K18" i="25" s="1"/>
  <c r="K18" i="26" s="1"/>
  <c r="K18" i="27" s="1"/>
  <c r="K20" i="21"/>
  <c r="K21" i="21"/>
  <c r="K21" i="22" s="1"/>
  <c r="K21" i="23" s="1"/>
  <c r="K21" i="24" s="1"/>
  <c r="K21" i="25" s="1"/>
  <c r="K21" i="26" s="1"/>
  <c r="K21" i="27" s="1"/>
  <c r="K22" i="21"/>
  <c r="K22" i="22" s="1"/>
  <c r="K22" i="23" s="1"/>
  <c r="K22" i="24" s="1"/>
  <c r="K22" i="25" s="1"/>
  <c r="K22" i="26" s="1"/>
  <c r="K22" i="27" s="1"/>
  <c r="K23" i="21"/>
  <c r="K23" i="22" s="1"/>
  <c r="K23" i="23" s="1"/>
  <c r="K23" i="24" s="1"/>
  <c r="K23" i="25" s="1"/>
  <c r="K23" i="26" s="1"/>
  <c r="K23" i="27" s="1"/>
  <c r="K26" i="21"/>
  <c r="K27" i="21"/>
  <c r="K27" i="22" s="1"/>
  <c r="K27" i="23" s="1"/>
  <c r="K27" i="24" s="1"/>
  <c r="K29" i="21"/>
  <c r="K30" i="21"/>
  <c r="K30" i="22" s="1"/>
  <c r="K30" i="23" s="1"/>
  <c r="K30" i="24" s="1"/>
  <c r="K30" i="25" s="1"/>
  <c r="K30" i="26" s="1"/>
  <c r="K30" i="27" s="1"/>
  <c r="K31" i="21"/>
  <c r="K31" i="22" s="1"/>
  <c r="K31" i="23" s="1"/>
  <c r="K31" i="24" s="1"/>
  <c r="K31" i="25" s="1"/>
  <c r="K31" i="26" s="1"/>
  <c r="K31" i="27" s="1"/>
  <c r="K32" i="21"/>
  <c r="K32" i="22" s="1"/>
  <c r="K32" i="23" s="1"/>
  <c r="K34" i="21"/>
  <c r="K35" i="21"/>
  <c r="K35" i="22" s="1"/>
  <c r="K35" i="23" s="1"/>
  <c r="K35" i="24" s="1"/>
  <c r="K35" i="25" s="1"/>
  <c r="K35" i="26" s="1"/>
  <c r="K35" i="27" s="1"/>
  <c r="K36" i="21"/>
  <c r="K36" i="22" s="1"/>
  <c r="K36" i="23" s="1"/>
  <c r="K36" i="24" s="1"/>
  <c r="K36" i="25" s="1"/>
  <c r="K36" i="26" s="1"/>
  <c r="K36" i="27" s="1"/>
  <c r="K37" i="21"/>
  <c r="K37" i="22" s="1"/>
  <c r="K37" i="23" s="1"/>
  <c r="K37" i="24" s="1"/>
  <c r="K37" i="25" s="1"/>
  <c r="K37" i="26" s="1"/>
  <c r="K37" i="27" s="1"/>
  <c r="K40" i="21"/>
  <c r="K41" i="21"/>
  <c r="K41" i="22" s="1"/>
  <c r="K41" i="23" s="1"/>
  <c r="K41" i="24" s="1"/>
  <c r="K41" i="25" s="1"/>
  <c r="K41" i="26" s="1"/>
  <c r="K41" i="27" s="1"/>
  <c r="K42" i="21"/>
  <c r="K42" i="22" s="1"/>
  <c r="K42" i="23" s="1"/>
  <c r="K42" i="24" s="1"/>
  <c r="K42" i="25" s="1"/>
  <c r="K42" i="26" s="1"/>
  <c r="K42" i="27" s="1"/>
  <c r="K43" i="21"/>
  <c r="K43" i="22" s="1"/>
  <c r="K43" i="23" s="1"/>
  <c r="K43" i="24" s="1"/>
  <c r="K43" i="25" s="1"/>
  <c r="K43" i="26" s="1"/>
  <c r="K43" i="27" s="1"/>
  <c r="K45" i="21"/>
  <c r="K46" i="21"/>
  <c r="K46" i="22" s="1"/>
  <c r="K46" i="23" s="1"/>
  <c r="K46" i="24" s="1"/>
  <c r="K46" i="25" s="1"/>
  <c r="K46" i="26" s="1"/>
  <c r="K46" i="27" s="1"/>
  <c r="K47" i="21"/>
  <c r="K47" i="22" s="1"/>
  <c r="K47" i="23" s="1"/>
  <c r="K47" i="24" s="1"/>
  <c r="K47" i="25" s="1"/>
  <c r="K47" i="26" s="1"/>
  <c r="K47" i="27" s="1"/>
  <c r="K48" i="21"/>
  <c r="K48" i="22" s="1"/>
  <c r="K48" i="23" s="1"/>
  <c r="K48" i="24" s="1"/>
  <c r="K48" i="25" s="1"/>
  <c r="K48" i="26" s="1"/>
  <c r="K48" i="27" s="1"/>
  <c r="K7" i="21"/>
  <c r="G8" i="21"/>
  <c r="G8" i="22" s="1"/>
  <c r="G8" i="23" s="1"/>
  <c r="G8" i="24" s="1"/>
  <c r="G8" i="25" s="1"/>
  <c r="G8" i="26" s="1"/>
  <c r="G8" i="27" s="1"/>
  <c r="G9" i="21"/>
  <c r="G9" i="22" s="1"/>
  <c r="G9" i="23" s="1"/>
  <c r="G9" i="24" s="1"/>
  <c r="G9" i="25" s="1"/>
  <c r="G9" i="26" s="1"/>
  <c r="G9" i="27" s="1"/>
  <c r="G10" i="21"/>
  <c r="G10" i="22" s="1"/>
  <c r="G10" i="23" s="1"/>
  <c r="G10" i="24" s="1"/>
  <c r="G10" i="25" s="1"/>
  <c r="G10" i="26" s="1"/>
  <c r="G10" i="27" s="1"/>
  <c r="G12" i="21"/>
  <c r="G13" i="21"/>
  <c r="G13" i="22" s="1"/>
  <c r="G13" i="23" s="1"/>
  <c r="G13" i="24" s="1"/>
  <c r="G13" i="25" s="1"/>
  <c r="G13" i="26" s="1"/>
  <c r="G13" i="27" s="1"/>
  <c r="G14" i="21"/>
  <c r="G14" i="22" s="1"/>
  <c r="G14" i="23" s="1"/>
  <c r="G14" i="24" s="1"/>
  <c r="G14" i="25" s="1"/>
  <c r="G14" i="26" s="1"/>
  <c r="G14" i="27" s="1"/>
  <c r="G16" i="21"/>
  <c r="G17" i="21"/>
  <c r="G17" i="22" s="1"/>
  <c r="G17" i="23" s="1"/>
  <c r="G17" i="24" s="1"/>
  <c r="G17" i="25" s="1"/>
  <c r="G17" i="26" s="1"/>
  <c r="G17" i="27" s="1"/>
  <c r="G18" i="21"/>
  <c r="G18" i="22" s="1"/>
  <c r="G18" i="23" s="1"/>
  <c r="G18" i="24" s="1"/>
  <c r="G18" i="25" s="1"/>
  <c r="G18" i="26" s="1"/>
  <c r="G18" i="27" s="1"/>
  <c r="G20" i="21"/>
  <c r="G21" i="21"/>
  <c r="G21" i="22" s="1"/>
  <c r="G21" i="23" s="1"/>
  <c r="G21" i="24" s="1"/>
  <c r="G21" i="25" s="1"/>
  <c r="G21" i="26" s="1"/>
  <c r="G21" i="27" s="1"/>
  <c r="G22" i="21"/>
  <c r="G22" i="22" s="1"/>
  <c r="G22" i="23" s="1"/>
  <c r="G22" i="24" s="1"/>
  <c r="G22" i="25" s="1"/>
  <c r="G22" i="26" s="1"/>
  <c r="G22" i="27" s="1"/>
  <c r="G23" i="21"/>
  <c r="G23" i="22" s="1"/>
  <c r="G23" i="23" s="1"/>
  <c r="G23" i="24" s="1"/>
  <c r="G23" i="25" s="1"/>
  <c r="G23" i="26" s="1"/>
  <c r="G23" i="27" s="1"/>
  <c r="G26" i="21"/>
  <c r="G27" i="21"/>
  <c r="G27" i="22" s="1"/>
  <c r="G27" i="23" s="1"/>
  <c r="G27" i="24" s="1"/>
  <c r="G27" i="25" s="1"/>
  <c r="G27" i="26" s="1"/>
  <c r="G27" i="27" s="1"/>
  <c r="G29" i="21"/>
  <c r="G30" i="21"/>
  <c r="G30" i="22" s="1"/>
  <c r="G30" i="23" s="1"/>
  <c r="G30" i="24" s="1"/>
  <c r="G30" i="25" s="1"/>
  <c r="G30" i="26" s="1"/>
  <c r="G30" i="27" s="1"/>
  <c r="G31" i="21"/>
  <c r="G31" i="22" s="1"/>
  <c r="G31" i="23" s="1"/>
  <c r="G31" i="24" s="1"/>
  <c r="G31" i="25" s="1"/>
  <c r="G31" i="26" s="1"/>
  <c r="G31" i="27" s="1"/>
  <c r="G32" i="21"/>
  <c r="G32" i="22" s="1"/>
  <c r="G32" i="23" s="1"/>
  <c r="G32" i="24" s="1"/>
  <c r="G32" i="25" s="1"/>
  <c r="G32" i="26" s="1"/>
  <c r="G32" i="27" s="1"/>
  <c r="G34" i="21"/>
  <c r="G35" i="21"/>
  <c r="G35" i="22" s="1"/>
  <c r="G35" i="23" s="1"/>
  <c r="G35" i="24" s="1"/>
  <c r="G35" i="25" s="1"/>
  <c r="G35" i="26" s="1"/>
  <c r="G35" i="27" s="1"/>
  <c r="G36" i="21"/>
  <c r="G36" i="22" s="1"/>
  <c r="G36" i="23" s="1"/>
  <c r="G36" i="24" s="1"/>
  <c r="G36" i="25" s="1"/>
  <c r="G36" i="26" s="1"/>
  <c r="G36" i="27" s="1"/>
  <c r="G37" i="21"/>
  <c r="G37" i="22" s="1"/>
  <c r="G37" i="23" s="1"/>
  <c r="G37" i="24" s="1"/>
  <c r="G37" i="25" s="1"/>
  <c r="G37" i="26" s="1"/>
  <c r="G37" i="27" s="1"/>
  <c r="G40" i="21"/>
  <c r="G41" i="21"/>
  <c r="G41" i="22" s="1"/>
  <c r="G41" i="23" s="1"/>
  <c r="G41" i="24" s="1"/>
  <c r="G41" i="25" s="1"/>
  <c r="G41" i="26" s="1"/>
  <c r="G41" i="27" s="1"/>
  <c r="G42" i="21"/>
  <c r="G42" i="22" s="1"/>
  <c r="G42" i="23" s="1"/>
  <c r="G42" i="24" s="1"/>
  <c r="G42" i="25" s="1"/>
  <c r="G42" i="26" s="1"/>
  <c r="G42" i="27" s="1"/>
  <c r="G43" i="21"/>
  <c r="G43" i="22" s="1"/>
  <c r="G43" i="23" s="1"/>
  <c r="G43" i="24" s="1"/>
  <c r="G43" i="25" s="1"/>
  <c r="G43" i="26" s="1"/>
  <c r="G43" i="27" s="1"/>
  <c r="G45" i="21"/>
  <c r="G46" i="21"/>
  <c r="G46" i="22" s="1"/>
  <c r="G46" i="23" s="1"/>
  <c r="G46" i="24" s="1"/>
  <c r="G46" i="25" s="1"/>
  <c r="G46" i="26" s="1"/>
  <c r="G46" i="27" s="1"/>
  <c r="G47" i="21"/>
  <c r="G47" i="22" s="1"/>
  <c r="G47" i="23" s="1"/>
  <c r="G47" i="24" s="1"/>
  <c r="G47" i="25" s="1"/>
  <c r="G47" i="26" s="1"/>
  <c r="G47" i="27" s="1"/>
  <c r="G48" i="21"/>
  <c r="G48" i="22" s="1"/>
  <c r="G48" i="23" s="1"/>
  <c r="G48" i="24" s="1"/>
  <c r="G48" i="25" s="1"/>
  <c r="G48" i="26" s="1"/>
  <c r="G48" i="27" s="1"/>
  <c r="G7" i="21"/>
  <c r="E8" i="21"/>
  <c r="E8" i="22" s="1"/>
  <c r="E8" i="23" s="1"/>
  <c r="E8" i="24" s="1"/>
  <c r="E8" i="25" s="1"/>
  <c r="E8" i="26" s="1"/>
  <c r="E8" i="27" s="1"/>
  <c r="E9" i="21"/>
  <c r="E9" i="22" s="1"/>
  <c r="E9" i="23" s="1"/>
  <c r="E9" i="24" s="1"/>
  <c r="E9" i="25" s="1"/>
  <c r="E9" i="26" s="1"/>
  <c r="E9" i="27" s="1"/>
  <c r="E10" i="21"/>
  <c r="E10" i="22" s="1"/>
  <c r="E10" i="23" s="1"/>
  <c r="E10" i="24" s="1"/>
  <c r="E10" i="25" s="1"/>
  <c r="E10" i="26" s="1"/>
  <c r="E10" i="27" s="1"/>
  <c r="E12" i="21"/>
  <c r="E13" i="21"/>
  <c r="E13" i="22" s="1"/>
  <c r="E13" i="23" s="1"/>
  <c r="E13" i="24" s="1"/>
  <c r="E13" i="25" s="1"/>
  <c r="E13" i="26" s="1"/>
  <c r="E13" i="27" s="1"/>
  <c r="E14" i="21"/>
  <c r="E14" i="22" s="1"/>
  <c r="E14" i="23" s="1"/>
  <c r="E14" i="24" s="1"/>
  <c r="E14" i="25" s="1"/>
  <c r="E14" i="26" s="1"/>
  <c r="E14" i="27" s="1"/>
  <c r="E16" i="21"/>
  <c r="E17" i="21"/>
  <c r="E17" i="22" s="1"/>
  <c r="E17" i="23" s="1"/>
  <c r="E17" i="24" s="1"/>
  <c r="E17" i="25" s="1"/>
  <c r="E17" i="26" s="1"/>
  <c r="E17" i="27" s="1"/>
  <c r="E18" i="21"/>
  <c r="E18" i="22" s="1"/>
  <c r="E18" i="23" s="1"/>
  <c r="E18" i="24" s="1"/>
  <c r="E18" i="25" s="1"/>
  <c r="E18" i="26" s="1"/>
  <c r="E18" i="27" s="1"/>
  <c r="E20" i="21"/>
  <c r="E21" i="21"/>
  <c r="E21" i="22" s="1"/>
  <c r="E21" i="23" s="1"/>
  <c r="E21" i="24" s="1"/>
  <c r="E21" i="25" s="1"/>
  <c r="E21" i="26" s="1"/>
  <c r="E21" i="27" s="1"/>
  <c r="E22" i="21"/>
  <c r="E22" i="22" s="1"/>
  <c r="E22" i="23" s="1"/>
  <c r="E22" i="24" s="1"/>
  <c r="E22" i="25" s="1"/>
  <c r="E22" i="26" s="1"/>
  <c r="E22" i="27" s="1"/>
  <c r="E23" i="21"/>
  <c r="E23" i="22" s="1"/>
  <c r="E23" i="23" s="1"/>
  <c r="E23" i="24" s="1"/>
  <c r="E23" i="25" s="1"/>
  <c r="E23" i="26" s="1"/>
  <c r="E23" i="27" s="1"/>
  <c r="E26" i="21"/>
  <c r="E27" i="21"/>
  <c r="E27" i="22" s="1"/>
  <c r="E27" i="23" s="1"/>
  <c r="E27" i="24" s="1"/>
  <c r="E27" i="25" s="1"/>
  <c r="E27" i="26" s="1"/>
  <c r="E27" i="27" s="1"/>
  <c r="E29" i="21"/>
  <c r="E30" i="21"/>
  <c r="E30" i="22" s="1"/>
  <c r="E30" i="23" s="1"/>
  <c r="E30" i="24" s="1"/>
  <c r="E30" i="25" s="1"/>
  <c r="E30" i="26" s="1"/>
  <c r="E30" i="27" s="1"/>
  <c r="E31" i="21"/>
  <c r="E31" i="22" s="1"/>
  <c r="E31" i="23" s="1"/>
  <c r="E31" i="24" s="1"/>
  <c r="E31" i="25" s="1"/>
  <c r="E31" i="26" s="1"/>
  <c r="E31" i="27" s="1"/>
  <c r="E32" i="21"/>
  <c r="E32" i="22" s="1"/>
  <c r="E32" i="23" s="1"/>
  <c r="E32" i="24" s="1"/>
  <c r="E32" i="25" s="1"/>
  <c r="E32" i="26" s="1"/>
  <c r="E32" i="27" s="1"/>
  <c r="E34" i="21"/>
  <c r="E35" i="21"/>
  <c r="E35" i="22" s="1"/>
  <c r="E35" i="23" s="1"/>
  <c r="E35" i="24" s="1"/>
  <c r="E35" i="25" s="1"/>
  <c r="E35" i="26" s="1"/>
  <c r="E35" i="27" s="1"/>
  <c r="E36" i="21"/>
  <c r="E36" i="22" s="1"/>
  <c r="E36" i="23" s="1"/>
  <c r="E36" i="24" s="1"/>
  <c r="E36" i="25" s="1"/>
  <c r="E36" i="26" s="1"/>
  <c r="E36" i="27" s="1"/>
  <c r="E37" i="21"/>
  <c r="E37" i="22" s="1"/>
  <c r="E37" i="23" s="1"/>
  <c r="E37" i="24" s="1"/>
  <c r="E37" i="25" s="1"/>
  <c r="E37" i="26" s="1"/>
  <c r="E37" i="27" s="1"/>
  <c r="E40" i="21"/>
  <c r="E41" i="21"/>
  <c r="E41" i="22" s="1"/>
  <c r="E41" i="23" s="1"/>
  <c r="E41" i="24" s="1"/>
  <c r="E41" i="25" s="1"/>
  <c r="E41" i="26" s="1"/>
  <c r="E41" i="27" s="1"/>
  <c r="E42" i="21"/>
  <c r="E42" i="22" s="1"/>
  <c r="E42" i="23" s="1"/>
  <c r="E42" i="24" s="1"/>
  <c r="E42" i="25" s="1"/>
  <c r="E42" i="26" s="1"/>
  <c r="E42" i="27" s="1"/>
  <c r="E43" i="21"/>
  <c r="E43" i="22" s="1"/>
  <c r="E43" i="23" s="1"/>
  <c r="E43" i="24" s="1"/>
  <c r="E43" i="25" s="1"/>
  <c r="E43" i="26" s="1"/>
  <c r="E43" i="27" s="1"/>
  <c r="E45" i="21"/>
  <c r="E46" i="21"/>
  <c r="E46" i="22" s="1"/>
  <c r="E46" i="23" s="1"/>
  <c r="E46" i="24" s="1"/>
  <c r="E46" i="25" s="1"/>
  <c r="E46" i="26" s="1"/>
  <c r="E46" i="27" s="1"/>
  <c r="E47" i="21"/>
  <c r="E47" i="22" s="1"/>
  <c r="E47" i="23" s="1"/>
  <c r="E47" i="24" s="1"/>
  <c r="E47" i="25" s="1"/>
  <c r="E47" i="26" s="1"/>
  <c r="E47" i="27" s="1"/>
  <c r="E48" i="21"/>
  <c r="E48" i="22" s="1"/>
  <c r="E48" i="23" s="1"/>
  <c r="E48" i="24" s="1"/>
  <c r="E48" i="25" s="1"/>
  <c r="E48" i="26" s="1"/>
  <c r="E48" i="27" s="1"/>
  <c r="E7" i="21"/>
  <c r="C49" i="21"/>
  <c r="H49" i="21" s="1"/>
  <c r="C44" i="21"/>
  <c r="H44" i="21" s="1"/>
  <c r="L15" i="17"/>
  <c r="C38" i="21"/>
  <c r="H38" i="21" s="1"/>
  <c r="C33" i="21"/>
  <c r="H33" i="21" s="1"/>
  <c r="C28" i="21"/>
  <c r="H28" i="21" s="1"/>
  <c r="C24" i="21"/>
  <c r="H24" i="21" s="1"/>
  <c r="C19" i="21"/>
  <c r="H19" i="21" s="1"/>
  <c r="C15" i="21"/>
  <c r="H15" i="21" s="1"/>
  <c r="C11" i="21"/>
  <c r="H11" i="21" s="1"/>
  <c r="E16" i="22" l="1"/>
  <c r="E16" i="23" s="1"/>
  <c r="E19" i="21"/>
  <c r="E19" i="22" s="1"/>
  <c r="G16" i="22"/>
  <c r="G16" i="23" s="1"/>
  <c r="G19" i="21"/>
  <c r="G19" i="22" s="1"/>
  <c r="K32" i="24"/>
  <c r="K27" i="25"/>
  <c r="K27" i="26" s="1"/>
  <c r="K27" i="27" s="1"/>
  <c r="K16" i="22"/>
  <c r="K16" i="23" s="1"/>
  <c r="K19" i="21"/>
  <c r="K19" i="22" s="1"/>
  <c r="K12" i="22"/>
  <c r="K12" i="23" s="1"/>
  <c r="K15" i="21"/>
  <c r="K15" i="22" s="1"/>
  <c r="M7" i="22"/>
  <c r="M7" i="23" s="1"/>
  <c r="M11" i="21"/>
  <c r="M11" i="22" s="1"/>
  <c r="M45" i="22"/>
  <c r="M45" i="23" s="1"/>
  <c r="M49" i="21"/>
  <c r="M40" i="22"/>
  <c r="M40" i="23" s="1"/>
  <c r="M44" i="21"/>
  <c r="M44" i="22" s="1"/>
  <c r="M34" i="22"/>
  <c r="M34" i="23" s="1"/>
  <c r="M38" i="21"/>
  <c r="M29" i="22"/>
  <c r="M29" i="23" s="1"/>
  <c r="M33" i="21"/>
  <c r="M33" i="22" s="1"/>
  <c r="M26" i="22"/>
  <c r="M26" i="23" s="1"/>
  <c r="M28" i="21"/>
  <c r="M28" i="22" s="1"/>
  <c r="M20" i="22"/>
  <c r="M20" i="23" s="1"/>
  <c r="M24" i="21"/>
  <c r="M12" i="22"/>
  <c r="M12" i="23" s="1"/>
  <c r="M15" i="21"/>
  <c r="M15" i="22" s="1"/>
  <c r="Q7" i="22"/>
  <c r="Q7" i="23" s="1"/>
  <c r="Q11" i="21"/>
  <c r="Q11" i="22" s="1"/>
  <c r="Q45" i="22"/>
  <c r="Q45" i="23" s="1"/>
  <c r="Q49" i="21"/>
  <c r="Q40" i="22"/>
  <c r="Q40" i="23" s="1"/>
  <c r="Q44" i="21"/>
  <c r="Q44" i="22" s="1"/>
  <c r="Q38" i="21"/>
  <c r="Q36" i="22"/>
  <c r="Q36" i="23" s="1"/>
  <c r="Q36" i="24" s="1"/>
  <c r="Q36" i="25" s="1"/>
  <c r="Q36" i="26" s="1"/>
  <c r="Q36" i="27" s="1"/>
  <c r="Q34" i="24"/>
  <c r="Q38" i="23"/>
  <c r="Q29" i="22"/>
  <c r="Q29" i="23" s="1"/>
  <c r="Q33" i="21"/>
  <c r="Q33" i="22" s="1"/>
  <c r="Q26" i="22"/>
  <c r="Q26" i="23" s="1"/>
  <c r="Q28" i="21"/>
  <c r="Q28" i="22" s="1"/>
  <c r="Q20" i="22"/>
  <c r="Q20" i="23" s="1"/>
  <c r="Q24" i="21"/>
  <c r="Q17" i="24"/>
  <c r="Q17" i="25" s="1"/>
  <c r="Q17" i="26" s="1"/>
  <c r="Q17" i="27" s="1"/>
  <c r="Q12" i="22"/>
  <c r="Q12" i="23" s="1"/>
  <c r="Q15" i="21"/>
  <c r="Q15" i="22" s="1"/>
  <c r="S7" i="22"/>
  <c r="S7" i="23" s="1"/>
  <c r="S11" i="21"/>
  <c r="S11" i="22" s="1"/>
  <c r="S45" i="22"/>
  <c r="S45" i="23" s="1"/>
  <c r="S49" i="21"/>
  <c r="S40" i="22"/>
  <c r="S40" i="23" s="1"/>
  <c r="S44" i="21"/>
  <c r="S44" i="22" s="1"/>
  <c r="S34" i="22"/>
  <c r="S34" i="23" s="1"/>
  <c r="S38" i="21"/>
  <c r="S38" i="22" s="1"/>
  <c r="S33" i="21"/>
  <c r="S29" i="22"/>
  <c r="S29" i="23" s="1"/>
  <c r="S26" i="22"/>
  <c r="S26" i="23" s="1"/>
  <c r="S28" i="21"/>
  <c r="S28" i="22" s="1"/>
  <c r="S20" i="22"/>
  <c r="S20" i="23" s="1"/>
  <c r="S24" i="21"/>
  <c r="S17" i="24"/>
  <c r="S17" i="25" s="1"/>
  <c r="S17" i="26" s="1"/>
  <c r="S17" i="27" s="1"/>
  <c r="S12" i="22"/>
  <c r="S12" i="23" s="1"/>
  <c r="S15" i="21"/>
  <c r="S15" i="22" s="1"/>
  <c r="U39" i="21"/>
  <c r="I21" i="25"/>
  <c r="N21" i="25" s="1"/>
  <c r="U21" i="24"/>
  <c r="H20" i="22"/>
  <c r="C24" i="22"/>
  <c r="I24" i="23"/>
  <c r="N20" i="23"/>
  <c r="I22" i="25"/>
  <c r="N22" i="25" s="1"/>
  <c r="U22" i="24"/>
  <c r="T50" i="25"/>
  <c r="T40" i="26"/>
  <c r="O40" i="27" s="1"/>
  <c r="O44" i="26"/>
  <c r="T44" i="26" s="1"/>
  <c r="I11" i="23"/>
  <c r="N7" i="23"/>
  <c r="U7" i="22"/>
  <c r="O7" i="24"/>
  <c r="T11" i="23"/>
  <c r="T25" i="23" s="1"/>
  <c r="T51" i="23" s="1"/>
  <c r="C38" i="25"/>
  <c r="C26" i="26"/>
  <c r="U26" i="25"/>
  <c r="U28" i="25" s="1"/>
  <c r="H28" i="25"/>
  <c r="I10" i="25"/>
  <c r="N10" i="25" s="1"/>
  <c r="U10" i="24"/>
  <c r="O50" i="25"/>
  <c r="T29" i="26"/>
  <c r="O29" i="27" s="1"/>
  <c r="O33" i="26"/>
  <c r="T33" i="26" s="1"/>
  <c r="C49" i="25"/>
  <c r="H50" i="24"/>
  <c r="C50" i="25" s="1"/>
  <c r="C29" i="26"/>
  <c r="U29" i="25"/>
  <c r="N34" i="26"/>
  <c r="I34" i="27" s="1"/>
  <c r="I38" i="26"/>
  <c r="T39" i="25"/>
  <c r="C25" i="21"/>
  <c r="H25" i="21" s="1"/>
  <c r="C39" i="21"/>
  <c r="H39" i="21" s="1"/>
  <c r="C50" i="21"/>
  <c r="E7" i="22"/>
  <c r="E7" i="23" s="1"/>
  <c r="E11" i="21"/>
  <c r="E11" i="22" s="1"/>
  <c r="E45" i="22"/>
  <c r="E45" i="23" s="1"/>
  <c r="E49" i="21"/>
  <c r="E40" i="22"/>
  <c r="E40" i="23" s="1"/>
  <c r="E44" i="21"/>
  <c r="E44" i="22" s="1"/>
  <c r="E34" i="22"/>
  <c r="E34" i="23" s="1"/>
  <c r="E38" i="21"/>
  <c r="E29" i="22"/>
  <c r="E29" i="23" s="1"/>
  <c r="E33" i="21"/>
  <c r="E33" i="22" s="1"/>
  <c r="E26" i="22"/>
  <c r="E26" i="23" s="1"/>
  <c r="E28" i="21"/>
  <c r="E28" i="22" s="1"/>
  <c r="E20" i="22"/>
  <c r="E20" i="23" s="1"/>
  <c r="E24" i="21"/>
  <c r="E12" i="22"/>
  <c r="E12" i="23" s="1"/>
  <c r="E15" i="21"/>
  <c r="E15" i="22" s="1"/>
  <c r="G7" i="22"/>
  <c r="G7" i="23" s="1"/>
  <c r="G11" i="21"/>
  <c r="G11" i="22" s="1"/>
  <c r="G45" i="22"/>
  <c r="G45" i="23" s="1"/>
  <c r="G49" i="21"/>
  <c r="G40" i="22"/>
  <c r="G40" i="23" s="1"/>
  <c r="G44" i="21"/>
  <c r="G44" i="22" s="1"/>
  <c r="G34" i="22"/>
  <c r="G34" i="23" s="1"/>
  <c r="G38" i="21"/>
  <c r="G29" i="22"/>
  <c r="G29" i="23" s="1"/>
  <c r="G33" i="21"/>
  <c r="G33" i="22" s="1"/>
  <c r="G26" i="22"/>
  <c r="G26" i="23" s="1"/>
  <c r="G28" i="21"/>
  <c r="G28" i="22" s="1"/>
  <c r="G20" i="22"/>
  <c r="G20" i="23" s="1"/>
  <c r="G24" i="21"/>
  <c r="G12" i="22"/>
  <c r="G12" i="23" s="1"/>
  <c r="G15" i="21"/>
  <c r="G15" i="22" s="1"/>
  <c r="K7" i="22"/>
  <c r="K7" i="23" s="1"/>
  <c r="K11" i="21"/>
  <c r="K11" i="22" s="1"/>
  <c r="K45" i="22"/>
  <c r="K45" i="23" s="1"/>
  <c r="K49" i="21"/>
  <c r="K40" i="22"/>
  <c r="K40" i="23" s="1"/>
  <c r="K44" i="21"/>
  <c r="K44" i="22" s="1"/>
  <c r="K34" i="22"/>
  <c r="K34" i="23" s="1"/>
  <c r="K38" i="21"/>
  <c r="K29" i="22"/>
  <c r="K29" i="23" s="1"/>
  <c r="K29" i="24" s="1"/>
  <c r="K29" i="25" s="1"/>
  <c r="K29" i="26" s="1"/>
  <c r="K33" i="21"/>
  <c r="K33" i="22" s="1"/>
  <c r="K26" i="22"/>
  <c r="K26" i="23" s="1"/>
  <c r="K28" i="21"/>
  <c r="K28" i="22" s="1"/>
  <c r="K20" i="22"/>
  <c r="K20" i="23" s="1"/>
  <c r="K24" i="21"/>
  <c r="M16" i="22"/>
  <c r="M16" i="23" s="1"/>
  <c r="M19" i="21"/>
  <c r="M19" i="22" s="1"/>
  <c r="Q21" i="25"/>
  <c r="Q21" i="26" s="1"/>
  <c r="Q21" i="27" s="1"/>
  <c r="Q18" i="27"/>
  <c r="Q16" i="22"/>
  <c r="Q16" i="23" s="1"/>
  <c r="Q16" i="24" s="1"/>
  <c r="Q19" i="21"/>
  <c r="Q19" i="22" s="1"/>
  <c r="S16" i="22"/>
  <c r="S16" i="23" s="1"/>
  <c r="S16" i="24" s="1"/>
  <c r="S19" i="21"/>
  <c r="S19" i="22" s="1"/>
  <c r="I25" i="22"/>
  <c r="N24" i="22"/>
  <c r="T25" i="22"/>
  <c r="O51" i="22"/>
  <c r="T51" i="22" s="1"/>
  <c r="T45" i="26"/>
  <c r="O49" i="26"/>
  <c r="I12" i="26"/>
  <c r="N15" i="25"/>
  <c r="I23" i="25"/>
  <c r="N23" i="25" s="1"/>
  <c r="U23" i="24"/>
  <c r="H31" i="22"/>
  <c r="C33" i="22"/>
  <c r="H12" i="26"/>
  <c r="C15" i="26"/>
  <c r="H15" i="26" s="1"/>
  <c r="C40" i="26"/>
  <c r="H44" i="25"/>
  <c r="H50" i="25" s="1"/>
  <c r="U40" i="25"/>
  <c r="U44" i="25" s="1"/>
  <c r="N29" i="26"/>
  <c r="I29" i="27" s="1"/>
  <c r="I33" i="26"/>
  <c r="N33" i="26" s="1"/>
  <c r="H16" i="26"/>
  <c r="C19" i="26"/>
  <c r="H19" i="26" s="1"/>
  <c r="U11" i="22"/>
  <c r="C11" i="23"/>
  <c r="H7" i="23"/>
  <c r="J51" i="21"/>
  <c r="N51" i="21" s="1"/>
  <c r="N25" i="21"/>
  <c r="C34" i="26"/>
  <c r="U34" i="25"/>
  <c r="U38" i="25" s="1"/>
  <c r="H38" i="25"/>
  <c r="T26" i="26"/>
  <c r="O26" i="27" s="1"/>
  <c r="O28" i="26"/>
  <c r="T28" i="26" s="1"/>
  <c r="T20" i="26"/>
  <c r="O20" i="27" s="1"/>
  <c r="O24" i="26"/>
  <c r="C45" i="26"/>
  <c r="H49" i="25"/>
  <c r="U45" i="25"/>
  <c r="U49" i="25" s="1"/>
  <c r="U50" i="25" s="1"/>
  <c r="N39" i="25"/>
  <c r="N45" i="26"/>
  <c r="I45" i="27" s="1"/>
  <c r="I49" i="26"/>
  <c r="T34" i="26"/>
  <c r="O34" i="27" s="1"/>
  <c r="O38" i="26"/>
  <c r="N26" i="26"/>
  <c r="I26" i="27" s="1"/>
  <c r="I28" i="26"/>
  <c r="N28" i="26" s="1"/>
  <c r="T16" i="26"/>
  <c r="O16" i="27" s="1"/>
  <c r="O19" i="26"/>
  <c r="T19" i="26" s="1"/>
  <c r="T12" i="26"/>
  <c r="O12" i="27" s="1"/>
  <c r="O15" i="26"/>
  <c r="T15" i="26" s="1"/>
  <c r="I16" i="26"/>
  <c r="N19" i="25"/>
  <c r="U51" i="21"/>
  <c r="P15" i="17"/>
  <c r="H64" i="21"/>
  <c r="W39" i="21"/>
  <c r="V39" i="21"/>
  <c r="D49" i="19"/>
  <c r="E49" i="19"/>
  <c r="E50" i="19" s="1"/>
  <c r="F49" i="19"/>
  <c r="G49" i="19"/>
  <c r="G50" i="19" s="1"/>
  <c r="I49" i="19"/>
  <c r="I50" i="19" s="1"/>
  <c r="J49" i="19"/>
  <c r="K49" i="19"/>
  <c r="K50" i="19" s="1"/>
  <c r="L49" i="19"/>
  <c r="M49" i="19"/>
  <c r="M50" i="19" s="1"/>
  <c r="O49" i="19"/>
  <c r="O50" i="19" s="1"/>
  <c r="P49" i="19"/>
  <c r="Q49" i="19"/>
  <c r="Q50" i="19" s="1"/>
  <c r="R49" i="19"/>
  <c r="S49" i="19"/>
  <c r="S50" i="19" s="1"/>
  <c r="C49" i="19"/>
  <c r="D44" i="19"/>
  <c r="D50" i="19" s="1"/>
  <c r="E44" i="19"/>
  <c r="F44" i="19"/>
  <c r="F50" i="19" s="1"/>
  <c r="G44" i="19"/>
  <c r="I44" i="19"/>
  <c r="J44" i="19"/>
  <c r="J50" i="19" s="1"/>
  <c r="K44" i="19"/>
  <c r="L44" i="19"/>
  <c r="L50" i="19" s="1"/>
  <c r="M44" i="19"/>
  <c r="O44" i="19"/>
  <c r="P44" i="19"/>
  <c r="P50" i="19" s="1"/>
  <c r="Q44" i="19"/>
  <c r="R44" i="19"/>
  <c r="R50" i="19" s="1"/>
  <c r="S44" i="19"/>
  <c r="C44" i="19"/>
  <c r="C50" i="19" s="1"/>
  <c r="D38" i="19"/>
  <c r="D39" i="19" s="1"/>
  <c r="E38" i="19"/>
  <c r="F38" i="19"/>
  <c r="F39" i="19" s="1"/>
  <c r="G38" i="19"/>
  <c r="I38" i="19"/>
  <c r="J38" i="19"/>
  <c r="J39" i="19" s="1"/>
  <c r="K38" i="19"/>
  <c r="L38" i="19"/>
  <c r="L39" i="19" s="1"/>
  <c r="M38" i="19"/>
  <c r="O38" i="19"/>
  <c r="P38" i="19"/>
  <c r="P39" i="19" s="1"/>
  <c r="Q38" i="19"/>
  <c r="R38" i="19"/>
  <c r="R39" i="19" s="1"/>
  <c r="S38" i="19"/>
  <c r="C38" i="19"/>
  <c r="C39" i="19" s="1"/>
  <c r="D33" i="19"/>
  <c r="E33" i="19"/>
  <c r="E39" i="19" s="1"/>
  <c r="F33" i="19"/>
  <c r="G33" i="19"/>
  <c r="G39" i="19" s="1"/>
  <c r="I33" i="19"/>
  <c r="I39" i="19" s="1"/>
  <c r="J33" i="19"/>
  <c r="K33" i="19"/>
  <c r="K39" i="19" s="1"/>
  <c r="L33" i="19"/>
  <c r="M33" i="19"/>
  <c r="M39" i="19" s="1"/>
  <c r="O33" i="19"/>
  <c r="O39" i="19" s="1"/>
  <c r="P33" i="19"/>
  <c r="Q33" i="19"/>
  <c r="Q39" i="19" s="1"/>
  <c r="R33" i="19"/>
  <c r="S33" i="19"/>
  <c r="S39" i="19" s="1"/>
  <c r="C33" i="19"/>
  <c r="D28" i="19"/>
  <c r="E28" i="19"/>
  <c r="F28" i="19"/>
  <c r="G28" i="19"/>
  <c r="I28" i="19"/>
  <c r="J28" i="19"/>
  <c r="K28" i="19"/>
  <c r="L28" i="19"/>
  <c r="M28" i="19"/>
  <c r="O28" i="19"/>
  <c r="P28" i="19"/>
  <c r="Q28" i="19"/>
  <c r="R28" i="19"/>
  <c r="S28" i="19"/>
  <c r="C28" i="19"/>
  <c r="D24" i="19"/>
  <c r="D25" i="19" s="1"/>
  <c r="E24" i="19"/>
  <c r="F24" i="19"/>
  <c r="F25" i="19" s="1"/>
  <c r="G24" i="19"/>
  <c r="I24" i="19"/>
  <c r="J24" i="19"/>
  <c r="J25" i="19" s="1"/>
  <c r="K24" i="19"/>
  <c r="L24" i="19"/>
  <c r="L25" i="19" s="1"/>
  <c r="M24" i="19"/>
  <c r="O24" i="19"/>
  <c r="P24" i="19"/>
  <c r="P25" i="19" s="1"/>
  <c r="Q24" i="19"/>
  <c r="R24" i="19"/>
  <c r="R25" i="19" s="1"/>
  <c r="S24" i="19"/>
  <c r="C24" i="19"/>
  <c r="C25" i="19" s="1"/>
  <c r="D19" i="19"/>
  <c r="E19" i="19"/>
  <c r="E25" i="19" s="1"/>
  <c r="F19" i="19"/>
  <c r="G19" i="19"/>
  <c r="G25" i="19" s="1"/>
  <c r="I19" i="19"/>
  <c r="I25" i="19" s="1"/>
  <c r="J19" i="19"/>
  <c r="K19" i="19"/>
  <c r="K25" i="19" s="1"/>
  <c r="L19" i="19"/>
  <c r="M19" i="19"/>
  <c r="M25" i="19" s="1"/>
  <c r="O19" i="19"/>
  <c r="O25" i="19" s="1"/>
  <c r="P19" i="19"/>
  <c r="Q19" i="19"/>
  <c r="Q25" i="19" s="1"/>
  <c r="R19" i="19"/>
  <c r="S19" i="19"/>
  <c r="S25" i="19" s="1"/>
  <c r="C19" i="19"/>
  <c r="D15" i="19"/>
  <c r="E15" i="19"/>
  <c r="F15" i="19"/>
  <c r="G15" i="19"/>
  <c r="I15" i="19"/>
  <c r="J15" i="19"/>
  <c r="K15" i="19"/>
  <c r="L15" i="19"/>
  <c r="M15" i="19"/>
  <c r="O15" i="19"/>
  <c r="P15" i="19"/>
  <c r="Q15" i="19"/>
  <c r="R15" i="19"/>
  <c r="S15" i="19"/>
  <c r="C15" i="19"/>
  <c r="D11" i="19"/>
  <c r="E11" i="19"/>
  <c r="F11" i="19"/>
  <c r="G11" i="19"/>
  <c r="I11" i="19"/>
  <c r="J11" i="19"/>
  <c r="K11" i="19"/>
  <c r="L11" i="19"/>
  <c r="M11" i="19"/>
  <c r="O11" i="19"/>
  <c r="P11" i="19"/>
  <c r="Q11" i="19"/>
  <c r="R11" i="19"/>
  <c r="S11" i="19"/>
  <c r="C11" i="19"/>
  <c r="T7" i="19"/>
  <c r="T11" i="19" s="1"/>
  <c r="N7" i="19"/>
  <c r="N11" i="19" s="1"/>
  <c r="H7" i="19"/>
  <c r="H11" i="19" s="1"/>
  <c r="U7" i="19"/>
  <c r="T8" i="19"/>
  <c r="T9" i="19"/>
  <c r="T10" i="19"/>
  <c r="T12" i="19"/>
  <c r="T15" i="19" s="1"/>
  <c r="T13" i="19"/>
  <c r="T14" i="19"/>
  <c r="T16" i="19"/>
  <c r="T19" i="19" s="1"/>
  <c r="T17" i="19"/>
  <c r="T18" i="19"/>
  <c r="T20" i="19"/>
  <c r="T24" i="19" s="1"/>
  <c r="T21" i="19"/>
  <c r="T22" i="19"/>
  <c r="T23" i="19"/>
  <c r="T26" i="19"/>
  <c r="T28" i="19" s="1"/>
  <c r="T27" i="19"/>
  <c r="T29" i="19"/>
  <c r="T33" i="19" s="1"/>
  <c r="T30" i="19"/>
  <c r="T31" i="19"/>
  <c r="T32" i="19"/>
  <c r="T34" i="19"/>
  <c r="T38" i="19" s="1"/>
  <c r="T39" i="19" s="1"/>
  <c r="T35" i="19"/>
  <c r="T36" i="19"/>
  <c r="T37" i="19"/>
  <c r="T40" i="19"/>
  <c r="T44" i="19" s="1"/>
  <c r="T41" i="19"/>
  <c r="T42" i="19"/>
  <c r="T43" i="19"/>
  <c r="T45" i="19"/>
  <c r="T49" i="19" s="1"/>
  <c r="T50" i="19" s="1"/>
  <c r="T46" i="19"/>
  <c r="T47" i="19"/>
  <c r="T48" i="19"/>
  <c r="N8" i="19"/>
  <c r="N9" i="19"/>
  <c r="N10" i="19"/>
  <c r="N12" i="19"/>
  <c r="N13" i="19"/>
  <c r="N15" i="19" s="1"/>
  <c r="N14" i="19"/>
  <c r="N16" i="19"/>
  <c r="N19" i="19" s="1"/>
  <c r="N17" i="19"/>
  <c r="N18" i="19"/>
  <c r="N20" i="19"/>
  <c r="N21" i="19"/>
  <c r="N24" i="19" s="1"/>
  <c r="N25" i="19" s="1"/>
  <c r="N22" i="19"/>
  <c r="N23" i="19"/>
  <c r="N26" i="19"/>
  <c r="N27" i="19"/>
  <c r="N28" i="19" s="1"/>
  <c r="N29" i="19"/>
  <c r="N33" i="19" s="1"/>
  <c r="N30" i="19"/>
  <c r="N31" i="19"/>
  <c r="N32" i="19"/>
  <c r="N34" i="19"/>
  <c r="N35" i="19"/>
  <c r="N38" i="19" s="1"/>
  <c r="N36" i="19"/>
  <c r="N37" i="19"/>
  <c r="N40" i="19"/>
  <c r="N41" i="19"/>
  <c r="N44" i="19" s="1"/>
  <c r="N42" i="19"/>
  <c r="N43" i="19"/>
  <c r="N45" i="19"/>
  <c r="N49" i="19" s="1"/>
  <c r="N50" i="19" s="1"/>
  <c r="N46" i="19"/>
  <c r="N47" i="19"/>
  <c r="N48" i="19"/>
  <c r="H8" i="19"/>
  <c r="U8" i="19" s="1"/>
  <c r="H9" i="19"/>
  <c r="U9" i="19" s="1"/>
  <c r="H10" i="19"/>
  <c r="U10" i="19" s="1"/>
  <c r="H12" i="19"/>
  <c r="H15" i="19" s="1"/>
  <c r="H13" i="19"/>
  <c r="U13" i="19" s="1"/>
  <c r="H14" i="19"/>
  <c r="U14" i="19" s="1"/>
  <c r="H16" i="19"/>
  <c r="H19" i="19" s="1"/>
  <c r="H17" i="19"/>
  <c r="U17" i="19" s="1"/>
  <c r="H18" i="19"/>
  <c r="U18" i="19" s="1"/>
  <c r="H20" i="19"/>
  <c r="H24" i="19" s="1"/>
  <c r="H21" i="19"/>
  <c r="U21" i="19" s="1"/>
  <c r="H22" i="19"/>
  <c r="U22" i="19" s="1"/>
  <c r="H23" i="19"/>
  <c r="U23" i="19" s="1"/>
  <c r="H26" i="19"/>
  <c r="H28" i="19" s="1"/>
  <c r="H27" i="19"/>
  <c r="U27" i="19" s="1"/>
  <c r="H29" i="19"/>
  <c r="H33" i="19" s="1"/>
  <c r="H30" i="19"/>
  <c r="U30" i="19" s="1"/>
  <c r="H31" i="19"/>
  <c r="U31" i="19" s="1"/>
  <c r="H32" i="19"/>
  <c r="U32" i="19" s="1"/>
  <c r="H34" i="19"/>
  <c r="H38" i="19" s="1"/>
  <c r="H39" i="19" s="1"/>
  <c r="H35" i="19"/>
  <c r="U35" i="19" s="1"/>
  <c r="H36" i="19"/>
  <c r="U36" i="19" s="1"/>
  <c r="H37" i="19"/>
  <c r="U37" i="19" s="1"/>
  <c r="H40" i="19"/>
  <c r="H44" i="19" s="1"/>
  <c r="H41" i="19"/>
  <c r="U41" i="19" s="1"/>
  <c r="H42" i="19"/>
  <c r="U42" i="19" s="1"/>
  <c r="H43" i="19"/>
  <c r="U43" i="19" s="1"/>
  <c r="H45" i="19"/>
  <c r="H49" i="19" s="1"/>
  <c r="H50" i="19" s="1"/>
  <c r="H46" i="19"/>
  <c r="U46" i="19" s="1"/>
  <c r="H47" i="19"/>
  <c r="U47" i="19" s="1"/>
  <c r="H48" i="19"/>
  <c r="U48" i="19" s="1"/>
  <c r="C51" i="19" l="1"/>
  <c r="R51" i="19"/>
  <c r="P51" i="19"/>
  <c r="F51" i="19"/>
  <c r="D51" i="19"/>
  <c r="S51" i="19"/>
  <c r="Q51" i="19"/>
  <c r="O51" i="19"/>
  <c r="G51" i="19"/>
  <c r="E51" i="19"/>
  <c r="H51" i="19"/>
  <c r="H25" i="19"/>
  <c r="N39" i="19"/>
  <c r="N51" i="19" s="1"/>
  <c r="T25" i="19"/>
  <c r="T51" i="19" s="1"/>
  <c r="U11" i="19"/>
  <c r="L51" i="19"/>
  <c r="J51" i="19"/>
  <c r="M51" i="19"/>
  <c r="K51" i="19"/>
  <c r="I51" i="19"/>
  <c r="U45" i="19"/>
  <c r="U49" i="19" s="1"/>
  <c r="U40" i="19"/>
  <c r="U44" i="19" s="1"/>
  <c r="U34" i="19"/>
  <c r="U38" i="19" s="1"/>
  <c r="U29" i="19"/>
  <c r="U33" i="19" s="1"/>
  <c r="U26" i="19"/>
  <c r="U28" i="19" s="1"/>
  <c r="U20" i="19"/>
  <c r="U24" i="19" s="1"/>
  <c r="U12" i="19"/>
  <c r="U15" i="19" s="1"/>
  <c r="N16" i="26"/>
  <c r="I16" i="27" s="1"/>
  <c r="I19" i="26"/>
  <c r="N19" i="26" s="1"/>
  <c r="O15" i="27"/>
  <c r="T12" i="27"/>
  <c r="O19" i="27"/>
  <c r="T16" i="27"/>
  <c r="T19" i="27" s="1"/>
  <c r="I28" i="27"/>
  <c r="N26" i="27"/>
  <c r="N28" i="27" s="1"/>
  <c r="O38" i="27"/>
  <c r="T34" i="27"/>
  <c r="T38" i="27" s="1"/>
  <c r="N45" i="27"/>
  <c r="N49" i="27" s="1"/>
  <c r="N50" i="27" s="1"/>
  <c r="I49" i="27"/>
  <c r="I50" i="27" s="1"/>
  <c r="H45" i="26"/>
  <c r="C45" i="27" s="1"/>
  <c r="C49" i="26"/>
  <c r="O24" i="27"/>
  <c r="T20" i="27"/>
  <c r="T24" i="27" s="1"/>
  <c r="O28" i="27"/>
  <c r="T26" i="27"/>
  <c r="T28" i="27" s="1"/>
  <c r="C7" i="24"/>
  <c r="H11" i="23"/>
  <c r="U7" i="23"/>
  <c r="U11" i="23" s="1"/>
  <c r="C16" i="27"/>
  <c r="U16" i="26"/>
  <c r="I33" i="27"/>
  <c r="N29" i="27"/>
  <c r="N33" i="27" s="1"/>
  <c r="H33" i="22"/>
  <c r="U33" i="22" s="1"/>
  <c r="C39" i="22"/>
  <c r="O50" i="26"/>
  <c r="T49" i="26"/>
  <c r="K24" i="22"/>
  <c r="K25" i="21"/>
  <c r="K25" i="22" s="1"/>
  <c r="K38" i="22"/>
  <c r="K39" i="21"/>
  <c r="K39" i="22" s="1"/>
  <c r="K49" i="22"/>
  <c r="K50" i="21"/>
  <c r="G24" i="22"/>
  <c r="G25" i="21"/>
  <c r="G25" i="22" s="1"/>
  <c r="G38" i="22"/>
  <c r="G39" i="21"/>
  <c r="G39" i="22" s="1"/>
  <c r="G49" i="22"/>
  <c r="G50" i="21"/>
  <c r="E25" i="21"/>
  <c r="E25" i="22" s="1"/>
  <c r="E24" i="22"/>
  <c r="E39" i="21"/>
  <c r="E39" i="22" s="1"/>
  <c r="E38" i="22"/>
  <c r="E50" i="21"/>
  <c r="E49" i="22"/>
  <c r="H50" i="21"/>
  <c r="C51" i="21"/>
  <c r="I38" i="27"/>
  <c r="I39" i="27" s="1"/>
  <c r="N34" i="27"/>
  <c r="N38" i="27" s="1"/>
  <c r="H26" i="26"/>
  <c r="C28" i="26"/>
  <c r="H28" i="26" s="1"/>
  <c r="U28" i="26" s="1"/>
  <c r="O44" i="27"/>
  <c r="T40" i="27"/>
  <c r="T44" i="27" s="1"/>
  <c r="I22" i="26"/>
  <c r="N22" i="26" s="1"/>
  <c r="U22" i="25"/>
  <c r="I25" i="23"/>
  <c r="I51" i="23" s="1"/>
  <c r="C20" i="23"/>
  <c r="U20" i="22"/>
  <c r="I21" i="26"/>
  <c r="N21" i="26" s="1"/>
  <c r="U21" i="25"/>
  <c r="S24" i="22"/>
  <c r="S25" i="21"/>
  <c r="S25" i="22" s="1"/>
  <c r="S29" i="24"/>
  <c r="S33" i="23"/>
  <c r="S49" i="22"/>
  <c r="S50" i="21"/>
  <c r="S50" i="22" s="1"/>
  <c r="Q25" i="21"/>
  <c r="Q25" i="22" s="1"/>
  <c r="Q24" i="22"/>
  <c r="Q50" i="21"/>
  <c r="Q50" i="22" s="1"/>
  <c r="Q49" i="22"/>
  <c r="M25" i="21"/>
  <c r="M25" i="22" s="1"/>
  <c r="M24" i="22"/>
  <c r="M39" i="21"/>
  <c r="M39" i="22" s="1"/>
  <c r="M38" i="22"/>
  <c r="M50" i="21"/>
  <c r="M49" i="22"/>
  <c r="K33" i="24"/>
  <c r="K33" i="25" s="1"/>
  <c r="K32" i="25"/>
  <c r="K32" i="26" s="1"/>
  <c r="K32" i="27" s="1"/>
  <c r="U16" i="19"/>
  <c r="U19" i="19" s="1"/>
  <c r="T38" i="26"/>
  <c r="O39" i="26"/>
  <c r="T39" i="26" s="1"/>
  <c r="I50" i="26"/>
  <c r="N50" i="26" s="1"/>
  <c r="N49" i="26"/>
  <c r="T24" i="26"/>
  <c r="H34" i="26"/>
  <c r="C38" i="26"/>
  <c r="U19" i="26"/>
  <c r="H40" i="26"/>
  <c r="C44" i="26"/>
  <c r="H44" i="26" s="1"/>
  <c r="U44" i="26" s="1"/>
  <c r="C12" i="27"/>
  <c r="C31" i="23"/>
  <c r="U31" i="22"/>
  <c r="I23" i="26"/>
  <c r="N23" i="26" s="1"/>
  <c r="U23" i="25"/>
  <c r="N12" i="26"/>
  <c r="I12" i="27" s="1"/>
  <c r="I15" i="26"/>
  <c r="N15" i="26" s="1"/>
  <c r="U15" i="26" s="1"/>
  <c r="U45" i="26"/>
  <c r="O45" i="27"/>
  <c r="N25" i="22"/>
  <c r="U25" i="22" s="1"/>
  <c r="I51" i="22"/>
  <c r="N51" i="22" s="1"/>
  <c r="S16" i="25"/>
  <c r="S16" i="26" s="1"/>
  <c r="S19" i="24"/>
  <c r="S19" i="25" s="1"/>
  <c r="Q16" i="25"/>
  <c r="Q16" i="26" s="1"/>
  <c r="Q19" i="24"/>
  <c r="Q19" i="25" s="1"/>
  <c r="M16" i="24"/>
  <c r="M19" i="23"/>
  <c r="K20" i="24"/>
  <c r="K24" i="23"/>
  <c r="K26" i="24"/>
  <c r="K28" i="23"/>
  <c r="K33" i="26"/>
  <c r="K29" i="27"/>
  <c r="K33" i="27" s="1"/>
  <c r="K34" i="24"/>
  <c r="K38" i="23"/>
  <c r="K40" i="24"/>
  <c r="K44" i="23"/>
  <c r="K49" i="23"/>
  <c r="K50" i="23" s="1"/>
  <c r="K45" i="24"/>
  <c r="K7" i="24"/>
  <c r="K11" i="23"/>
  <c r="G12" i="24"/>
  <c r="G15" i="23"/>
  <c r="G24" i="23"/>
  <c r="G25" i="23" s="1"/>
  <c r="G51" i="23" s="1"/>
  <c r="G20" i="24"/>
  <c r="G26" i="24"/>
  <c r="G28" i="23"/>
  <c r="G29" i="24"/>
  <c r="G33" i="23"/>
  <c r="G34" i="24"/>
  <c r="G38" i="23"/>
  <c r="G39" i="23" s="1"/>
  <c r="G40" i="24"/>
  <c r="G44" i="23"/>
  <c r="G45" i="24"/>
  <c r="G49" i="23"/>
  <c r="G50" i="23" s="1"/>
  <c r="G7" i="24"/>
  <c r="G11" i="23"/>
  <c r="E12" i="24"/>
  <c r="E15" i="23"/>
  <c r="E24" i="23"/>
  <c r="E25" i="23" s="1"/>
  <c r="E20" i="24"/>
  <c r="E26" i="24"/>
  <c r="E28" i="23"/>
  <c r="E29" i="24"/>
  <c r="E33" i="23"/>
  <c r="E34" i="24"/>
  <c r="E38" i="23"/>
  <c r="E39" i="23" s="1"/>
  <c r="E40" i="24"/>
  <c r="E44" i="23"/>
  <c r="E45" i="24"/>
  <c r="E49" i="23"/>
  <c r="E50" i="23" s="1"/>
  <c r="E7" i="24"/>
  <c r="E11" i="23"/>
  <c r="N38" i="26"/>
  <c r="I39" i="26"/>
  <c r="N39" i="26" s="1"/>
  <c r="H29" i="26"/>
  <c r="O33" i="27"/>
  <c r="T29" i="27"/>
  <c r="T33" i="27" s="1"/>
  <c r="I10" i="26"/>
  <c r="N10" i="26" s="1"/>
  <c r="U10" i="25"/>
  <c r="O11" i="24"/>
  <c r="O25" i="24" s="1"/>
  <c r="O51" i="24" s="1"/>
  <c r="T7" i="24"/>
  <c r="I7" i="24"/>
  <c r="N11" i="23"/>
  <c r="I20" i="24"/>
  <c r="N24" i="23"/>
  <c r="N25" i="23" s="1"/>
  <c r="N51" i="23" s="1"/>
  <c r="H24" i="22"/>
  <c r="U24" i="22" s="1"/>
  <c r="C25" i="22"/>
  <c r="H25" i="22" s="1"/>
  <c r="S12" i="24"/>
  <c r="S15" i="23"/>
  <c r="S19" i="23"/>
  <c r="S24" i="23"/>
  <c r="S20" i="24"/>
  <c r="S26" i="24"/>
  <c r="S28" i="23"/>
  <c r="S39" i="21"/>
  <c r="S33" i="22"/>
  <c r="S34" i="24"/>
  <c r="S38" i="23"/>
  <c r="S39" i="23" s="1"/>
  <c r="S40" i="24"/>
  <c r="S44" i="23"/>
  <c r="S45" i="24"/>
  <c r="S49" i="23"/>
  <c r="S50" i="23" s="1"/>
  <c r="S7" i="24"/>
  <c r="S11" i="23"/>
  <c r="Q12" i="24"/>
  <c r="Q15" i="23"/>
  <c r="Q19" i="23"/>
  <c r="Q20" i="24"/>
  <c r="Q24" i="23"/>
  <c r="Q26" i="24"/>
  <c r="Q28" i="23"/>
  <c r="Q29" i="24"/>
  <c r="Q33" i="23"/>
  <c r="Q39" i="23" s="1"/>
  <c r="Q34" i="25"/>
  <c r="Q34" i="26" s="1"/>
  <c r="Q38" i="24"/>
  <c r="Q39" i="21"/>
  <c r="Q38" i="22"/>
  <c r="Q40" i="24"/>
  <c r="Q44" i="23"/>
  <c r="Q45" i="24"/>
  <c r="Q49" i="23"/>
  <c r="Q50" i="23" s="1"/>
  <c r="Q7" i="24"/>
  <c r="Q11" i="23"/>
  <c r="M12" i="24"/>
  <c r="M15" i="23"/>
  <c r="M20" i="24"/>
  <c r="M24" i="23"/>
  <c r="M26" i="24"/>
  <c r="M28" i="23"/>
  <c r="M33" i="23"/>
  <c r="M39" i="23" s="1"/>
  <c r="M29" i="24"/>
  <c r="M34" i="24"/>
  <c r="M38" i="23"/>
  <c r="M40" i="24"/>
  <c r="M44" i="23"/>
  <c r="M49" i="23"/>
  <c r="M50" i="23" s="1"/>
  <c r="M45" i="24"/>
  <c r="M7" i="24"/>
  <c r="M11" i="23"/>
  <c r="K12" i="24"/>
  <c r="K15" i="23"/>
  <c r="K16" i="24"/>
  <c r="K19" i="23"/>
  <c r="K33" i="23"/>
  <c r="G19" i="23"/>
  <c r="G16" i="24"/>
  <c r="E19" i="23"/>
  <c r="E16" i="24"/>
  <c r="G16" i="17"/>
  <c r="K16" i="17"/>
  <c r="N16" i="17"/>
  <c r="O16" i="17"/>
  <c r="J16" i="17"/>
  <c r="F16" i="17"/>
  <c r="V39" i="19"/>
  <c r="W39" i="19"/>
  <c r="H64" i="19"/>
  <c r="G19" i="24" l="1"/>
  <c r="G19" i="25" s="1"/>
  <c r="G16" i="25"/>
  <c r="G16" i="26" s="1"/>
  <c r="K16" i="25"/>
  <c r="K16" i="26" s="1"/>
  <c r="K19" i="24"/>
  <c r="K19" i="25" s="1"/>
  <c r="M7" i="25"/>
  <c r="M7" i="26" s="1"/>
  <c r="M11" i="24"/>
  <c r="M11" i="25" s="1"/>
  <c r="M20" i="25"/>
  <c r="M20" i="26" s="1"/>
  <c r="M24" i="24"/>
  <c r="M24" i="25" s="1"/>
  <c r="Q7" i="25"/>
  <c r="Q7" i="26" s="1"/>
  <c r="Q11" i="24"/>
  <c r="Q11" i="25" s="1"/>
  <c r="Q34" i="27"/>
  <c r="Q38" i="27" s="1"/>
  <c r="Q38" i="26"/>
  <c r="Q20" i="25"/>
  <c r="Q20" i="26" s="1"/>
  <c r="Q24" i="24"/>
  <c r="S12" i="25"/>
  <c r="S12" i="26" s="1"/>
  <c r="S15" i="24"/>
  <c r="S15" i="25" s="1"/>
  <c r="I24" i="24"/>
  <c r="N20" i="24"/>
  <c r="N7" i="24"/>
  <c r="I11" i="24"/>
  <c r="I10" i="27"/>
  <c r="N10" i="27" s="1"/>
  <c r="U10" i="27" s="1"/>
  <c r="U10" i="26"/>
  <c r="U29" i="26"/>
  <c r="C29" i="27"/>
  <c r="E7" i="25"/>
  <c r="E7" i="26" s="1"/>
  <c r="E11" i="24"/>
  <c r="E11" i="25" s="1"/>
  <c r="E40" i="25"/>
  <c r="E40" i="26" s="1"/>
  <c r="E44" i="24"/>
  <c r="E29" i="25"/>
  <c r="E29" i="26" s="1"/>
  <c r="E33" i="24"/>
  <c r="E33" i="25" s="1"/>
  <c r="E26" i="25"/>
  <c r="E26" i="26" s="1"/>
  <c r="E28" i="24"/>
  <c r="E28" i="25" s="1"/>
  <c r="E12" i="25"/>
  <c r="E12" i="26" s="1"/>
  <c r="E15" i="24"/>
  <c r="E15" i="25" s="1"/>
  <c r="G40" i="25"/>
  <c r="G40" i="26" s="1"/>
  <c r="G44" i="24"/>
  <c r="G44" i="25" s="1"/>
  <c r="K7" i="25"/>
  <c r="K7" i="26" s="1"/>
  <c r="K11" i="24"/>
  <c r="K11" i="25" s="1"/>
  <c r="K40" i="25"/>
  <c r="K40" i="26" s="1"/>
  <c r="K44" i="24"/>
  <c r="K44" i="25" s="1"/>
  <c r="K34" i="25"/>
  <c r="K34" i="26" s="1"/>
  <c r="K38" i="24"/>
  <c r="K26" i="25"/>
  <c r="K26" i="26" s="1"/>
  <c r="K28" i="24"/>
  <c r="K28" i="25" s="1"/>
  <c r="K20" i="25"/>
  <c r="K20" i="26" s="1"/>
  <c r="K24" i="24"/>
  <c r="M16" i="25"/>
  <c r="M16" i="26" s="1"/>
  <c r="M19" i="24"/>
  <c r="M19" i="25" s="1"/>
  <c r="Q16" i="27"/>
  <c r="Q19" i="27" s="1"/>
  <c r="Q19" i="26"/>
  <c r="S16" i="27"/>
  <c r="S19" i="27" s="1"/>
  <c r="S19" i="26"/>
  <c r="I15" i="27"/>
  <c r="N12" i="27"/>
  <c r="N15" i="27" s="1"/>
  <c r="I23" i="27"/>
  <c r="N23" i="27" s="1"/>
  <c r="U23" i="27" s="1"/>
  <c r="U23" i="26"/>
  <c r="H31" i="23"/>
  <c r="C33" i="23"/>
  <c r="C39" i="23" s="1"/>
  <c r="C51" i="23" s="1"/>
  <c r="C15" i="27"/>
  <c r="H12" i="27"/>
  <c r="H15" i="27" s="1"/>
  <c r="C40" i="27"/>
  <c r="U40" i="26"/>
  <c r="H38" i="26"/>
  <c r="U38" i="26" s="1"/>
  <c r="M51" i="21"/>
  <c r="M51" i="22" s="1"/>
  <c r="M50" i="22"/>
  <c r="I22" i="27"/>
  <c r="N22" i="27" s="1"/>
  <c r="U22" i="27" s="1"/>
  <c r="U22" i="26"/>
  <c r="E51" i="21"/>
  <c r="E51" i="22" s="1"/>
  <c r="E50" i="22"/>
  <c r="H39" i="22"/>
  <c r="U39" i="22" s="1"/>
  <c r="C51" i="22"/>
  <c r="H51" i="22" s="1"/>
  <c r="C11" i="24"/>
  <c r="H7" i="24"/>
  <c r="H49" i="26"/>
  <c r="C50" i="26"/>
  <c r="O39" i="27"/>
  <c r="I19" i="27"/>
  <c r="N16" i="27"/>
  <c r="N19" i="27" s="1"/>
  <c r="U25" i="19"/>
  <c r="E16" i="25"/>
  <c r="E16" i="26" s="1"/>
  <c r="E19" i="24"/>
  <c r="E19" i="25" s="1"/>
  <c r="K12" i="25"/>
  <c r="K12" i="26" s="1"/>
  <c r="K15" i="24"/>
  <c r="K15" i="25" s="1"/>
  <c r="M51" i="23"/>
  <c r="M40" i="25"/>
  <c r="M40" i="26" s="1"/>
  <c r="M44" i="24"/>
  <c r="M44" i="25" s="1"/>
  <c r="M34" i="25"/>
  <c r="M34" i="26" s="1"/>
  <c r="M38" i="24"/>
  <c r="M26" i="25"/>
  <c r="M26" i="26" s="1"/>
  <c r="M28" i="24"/>
  <c r="M28" i="25" s="1"/>
  <c r="M12" i="25"/>
  <c r="M12" i="26" s="1"/>
  <c r="M15" i="24"/>
  <c r="Q49" i="24"/>
  <c r="Q45" i="25"/>
  <c r="Q45" i="26" s="1"/>
  <c r="Q40" i="25"/>
  <c r="Q40" i="26" s="1"/>
  <c r="Q44" i="24"/>
  <c r="Q44" i="25" s="1"/>
  <c r="Q51" i="21"/>
  <c r="Q51" i="22" s="1"/>
  <c r="Q39" i="22"/>
  <c r="Q29" i="25"/>
  <c r="Q29" i="26" s="1"/>
  <c r="Q33" i="24"/>
  <c r="Q33" i="25" s="1"/>
  <c r="Q26" i="25"/>
  <c r="Q26" i="26" s="1"/>
  <c r="Q28" i="24"/>
  <c r="Q28" i="25" s="1"/>
  <c r="S20" i="25"/>
  <c r="S20" i="26" s="1"/>
  <c r="S24" i="24"/>
  <c r="E45" i="25"/>
  <c r="E45" i="26" s="1"/>
  <c r="E49" i="24"/>
  <c r="E49" i="25" s="1"/>
  <c r="E34" i="25"/>
  <c r="E34" i="26" s="1"/>
  <c r="E38" i="24"/>
  <c r="G11" i="24"/>
  <c r="G11" i="25" s="1"/>
  <c r="G7" i="25"/>
  <c r="G7" i="26" s="1"/>
  <c r="G45" i="25"/>
  <c r="G45" i="26" s="1"/>
  <c r="G49" i="24"/>
  <c r="G34" i="25"/>
  <c r="G34" i="26" s="1"/>
  <c r="G38" i="24"/>
  <c r="G29" i="25"/>
  <c r="G29" i="26" s="1"/>
  <c r="G33" i="24"/>
  <c r="G33" i="25" s="1"/>
  <c r="G26" i="25"/>
  <c r="G26" i="26" s="1"/>
  <c r="G28" i="24"/>
  <c r="G28" i="25" s="1"/>
  <c r="G12" i="25"/>
  <c r="G12" i="26" s="1"/>
  <c r="G15" i="24"/>
  <c r="G15" i="25" s="1"/>
  <c r="M45" i="25"/>
  <c r="M45" i="26" s="1"/>
  <c r="M49" i="24"/>
  <c r="M29" i="25"/>
  <c r="M29" i="26" s="1"/>
  <c r="M33" i="24"/>
  <c r="M33" i="25" s="1"/>
  <c r="M25" i="23"/>
  <c r="Q38" i="25"/>
  <c r="Q25" i="23"/>
  <c r="Q51" i="23" s="1"/>
  <c r="Q12" i="25"/>
  <c r="Q12" i="26" s="1"/>
  <c r="Q15" i="24"/>
  <c r="Q15" i="25" s="1"/>
  <c r="S7" i="25"/>
  <c r="S7" i="26" s="1"/>
  <c r="S11" i="24"/>
  <c r="S11" i="25" s="1"/>
  <c r="S45" i="25"/>
  <c r="S45" i="26" s="1"/>
  <c r="S49" i="24"/>
  <c r="S40" i="25"/>
  <c r="S40" i="26" s="1"/>
  <c r="S44" i="24"/>
  <c r="S44" i="25" s="1"/>
  <c r="S34" i="25"/>
  <c r="S34" i="26" s="1"/>
  <c r="S38" i="24"/>
  <c r="S51" i="21"/>
  <c r="S51" i="22" s="1"/>
  <c r="S39" i="22"/>
  <c r="S26" i="25"/>
  <c r="S26" i="26" s="1"/>
  <c r="S28" i="24"/>
  <c r="S28" i="25" s="1"/>
  <c r="S25" i="23"/>
  <c r="S51" i="23" s="1"/>
  <c r="O7" i="25"/>
  <c r="T7" i="25" s="1"/>
  <c r="T11" i="24"/>
  <c r="E51" i="23"/>
  <c r="E24" i="24"/>
  <c r="E20" i="25"/>
  <c r="E20" i="26" s="1"/>
  <c r="G20" i="25"/>
  <c r="G20" i="26" s="1"/>
  <c r="G24" i="24"/>
  <c r="K25" i="23"/>
  <c r="K49" i="24"/>
  <c r="K45" i="25"/>
  <c r="K45" i="26" s="1"/>
  <c r="K39" i="23"/>
  <c r="K51" i="23" s="1"/>
  <c r="O49" i="27"/>
  <c r="O50" i="27" s="1"/>
  <c r="T45" i="27"/>
  <c r="T49" i="27" s="1"/>
  <c r="T50" i="27" s="1"/>
  <c r="U12" i="26"/>
  <c r="C34" i="27"/>
  <c r="U34" i="26"/>
  <c r="U49" i="26"/>
  <c r="S29" i="25"/>
  <c r="S29" i="26" s="1"/>
  <c r="S33" i="24"/>
  <c r="S33" i="25" s="1"/>
  <c r="I21" i="27"/>
  <c r="N21" i="27" s="1"/>
  <c r="U21" i="27" s="1"/>
  <c r="U21" i="26"/>
  <c r="C24" i="23"/>
  <c r="C25" i="23" s="1"/>
  <c r="H20" i="23"/>
  <c r="C26" i="27"/>
  <c r="U26" i="26"/>
  <c r="N39" i="27"/>
  <c r="H51" i="21"/>
  <c r="H15" i="17"/>
  <c r="G51" i="21"/>
  <c r="G51" i="22" s="1"/>
  <c r="G50" i="22"/>
  <c r="K51" i="21"/>
  <c r="K51" i="22" s="1"/>
  <c r="K50" i="22"/>
  <c r="T50" i="26"/>
  <c r="C19" i="27"/>
  <c r="H16" i="27"/>
  <c r="C49" i="27"/>
  <c r="H45" i="27"/>
  <c r="T39" i="27"/>
  <c r="T15" i="27"/>
  <c r="U39" i="19"/>
  <c r="U50" i="19"/>
  <c r="U51" i="19" s="1"/>
  <c r="J53" i="21"/>
  <c r="I63" i="21" s="1"/>
  <c r="J53" i="19"/>
  <c r="N58" i="19" s="1"/>
  <c r="J54" i="19"/>
  <c r="U45" i="27" l="1"/>
  <c r="U49" i="27" s="1"/>
  <c r="H49" i="27"/>
  <c r="H24" i="23"/>
  <c r="H25" i="23" s="1"/>
  <c r="C20" i="24"/>
  <c r="U20" i="23"/>
  <c r="U24" i="23" s="1"/>
  <c r="U25" i="23" s="1"/>
  <c r="H34" i="27"/>
  <c r="C38" i="27"/>
  <c r="K50" i="24"/>
  <c r="K50" i="25" s="1"/>
  <c r="K49" i="25"/>
  <c r="G24" i="25"/>
  <c r="G25" i="24"/>
  <c r="E20" i="27"/>
  <c r="E24" i="27" s="1"/>
  <c r="E24" i="26"/>
  <c r="J54" i="23"/>
  <c r="O7" i="26"/>
  <c r="T11" i="25"/>
  <c r="T25" i="25" s="1"/>
  <c r="T51" i="25" s="1"/>
  <c r="S38" i="25"/>
  <c r="S39" i="24"/>
  <c r="S39" i="25" s="1"/>
  <c r="S49" i="25"/>
  <c r="S50" i="24"/>
  <c r="M49" i="25"/>
  <c r="M50" i="24"/>
  <c r="M50" i="25" s="1"/>
  <c r="G38" i="25"/>
  <c r="G39" i="24"/>
  <c r="G39" i="25" s="1"/>
  <c r="G49" i="25"/>
  <c r="G50" i="24"/>
  <c r="G50" i="25" s="1"/>
  <c r="G11" i="26"/>
  <c r="G7" i="27"/>
  <c r="G11" i="27" s="1"/>
  <c r="E38" i="25"/>
  <c r="E39" i="24"/>
  <c r="S24" i="25"/>
  <c r="S25" i="24"/>
  <c r="S25" i="25" s="1"/>
  <c r="Q45" i="27"/>
  <c r="Q49" i="27" s="1"/>
  <c r="Q49" i="26"/>
  <c r="M25" i="24"/>
  <c r="M15" i="25"/>
  <c r="M38" i="25"/>
  <c r="M39" i="24"/>
  <c r="M39" i="25" s="1"/>
  <c r="K12" i="27"/>
  <c r="K15" i="27" s="1"/>
  <c r="K15" i="26"/>
  <c r="E16" i="27"/>
  <c r="E19" i="27" s="1"/>
  <c r="E19" i="26"/>
  <c r="H50" i="26"/>
  <c r="U50" i="26" s="1"/>
  <c r="J54" i="22"/>
  <c r="K24" i="25"/>
  <c r="K25" i="24"/>
  <c r="K38" i="25"/>
  <c r="K39" i="24"/>
  <c r="K39" i="25" s="1"/>
  <c r="E50" i="24"/>
  <c r="E50" i="25" s="1"/>
  <c r="E44" i="25"/>
  <c r="H29" i="27"/>
  <c r="I20" i="25"/>
  <c r="N20" i="25" s="1"/>
  <c r="N24" i="24"/>
  <c r="I24" i="25" s="1"/>
  <c r="Q25" i="24"/>
  <c r="Q25" i="25" s="1"/>
  <c r="Q24" i="25"/>
  <c r="G19" i="26"/>
  <c r="G16" i="27"/>
  <c r="G19" i="27" s="1"/>
  <c r="U12" i="27"/>
  <c r="U15" i="27" s="1"/>
  <c r="C50" i="27"/>
  <c r="H19" i="27"/>
  <c r="U16" i="27"/>
  <c r="U19" i="27" s="1"/>
  <c r="C28" i="27"/>
  <c r="H26" i="27"/>
  <c r="S29" i="27"/>
  <c r="S33" i="27" s="1"/>
  <c r="S33" i="26"/>
  <c r="K49" i="26"/>
  <c r="K50" i="26" s="1"/>
  <c r="K45" i="27"/>
  <c r="K49" i="27" s="1"/>
  <c r="G20" i="27"/>
  <c r="G24" i="27" s="1"/>
  <c r="G24" i="26"/>
  <c r="E25" i="24"/>
  <c r="E25" i="25" s="1"/>
  <c r="E24" i="25"/>
  <c r="O11" i="25"/>
  <c r="T25" i="24"/>
  <c r="S26" i="27"/>
  <c r="S28" i="27" s="1"/>
  <c r="S28" i="26"/>
  <c r="S34" i="27"/>
  <c r="S38" i="27" s="1"/>
  <c r="S39" i="27" s="1"/>
  <c r="S38" i="26"/>
  <c r="S40" i="27"/>
  <c r="S44" i="27" s="1"/>
  <c r="S44" i="26"/>
  <c r="S45" i="27"/>
  <c r="S49" i="27" s="1"/>
  <c r="S50" i="27" s="1"/>
  <c r="S49" i="26"/>
  <c r="S50" i="26" s="1"/>
  <c r="S7" i="27"/>
  <c r="S11" i="27" s="1"/>
  <c r="S11" i="26"/>
  <c r="Q12" i="27"/>
  <c r="Q15" i="27" s="1"/>
  <c r="Q15" i="26"/>
  <c r="Q39" i="24"/>
  <c r="Q39" i="25" s="1"/>
  <c r="M29" i="27"/>
  <c r="M33" i="27" s="1"/>
  <c r="M33" i="26"/>
  <c r="M45" i="27"/>
  <c r="M49" i="27" s="1"/>
  <c r="M49" i="26"/>
  <c r="G12" i="27"/>
  <c r="G15" i="27" s="1"/>
  <c r="G15" i="26"/>
  <c r="G26" i="27"/>
  <c r="G28" i="27" s="1"/>
  <c r="G28" i="26"/>
  <c r="G29" i="27"/>
  <c r="G33" i="27" s="1"/>
  <c r="G33" i="26"/>
  <c r="G34" i="27"/>
  <c r="G38" i="27" s="1"/>
  <c r="G39" i="27" s="1"/>
  <c r="G38" i="26"/>
  <c r="G39" i="26" s="1"/>
  <c r="G45" i="27"/>
  <c r="G49" i="27" s="1"/>
  <c r="G49" i="26"/>
  <c r="G50" i="26" s="1"/>
  <c r="E34" i="27"/>
  <c r="E38" i="27" s="1"/>
  <c r="E38" i="26"/>
  <c r="E39" i="26" s="1"/>
  <c r="E45" i="27"/>
  <c r="E49" i="27" s="1"/>
  <c r="E49" i="26"/>
  <c r="S20" i="27"/>
  <c r="S24" i="27" s="1"/>
  <c r="S24" i="26"/>
  <c r="Q26" i="27"/>
  <c r="Q28" i="27" s="1"/>
  <c r="Q28" i="26"/>
  <c r="Q29" i="27"/>
  <c r="Q33" i="27" s="1"/>
  <c r="Q33" i="26"/>
  <c r="Q39" i="26" s="1"/>
  <c r="Q40" i="27"/>
  <c r="Q44" i="27" s="1"/>
  <c r="Q44" i="26"/>
  <c r="Q50" i="24"/>
  <c r="Q49" i="25"/>
  <c r="M12" i="27"/>
  <c r="M15" i="27" s="1"/>
  <c r="M15" i="26"/>
  <c r="M26" i="27"/>
  <c r="M28" i="27" s="1"/>
  <c r="M28" i="26"/>
  <c r="M34" i="27"/>
  <c r="M38" i="27" s="1"/>
  <c r="M39" i="27" s="1"/>
  <c r="M38" i="26"/>
  <c r="M39" i="26" s="1"/>
  <c r="M40" i="27"/>
  <c r="M44" i="27" s="1"/>
  <c r="M44" i="26"/>
  <c r="H11" i="24"/>
  <c r="C11" i="25" s="1"/>
  <c r="C7" i="25"/>
  <c r="H7" i="25" s="1"/>
  <c r="U7" i="24"/>
  <c r="U11" i="24" s="1"/>
  <c r="H60" i="22"/>
  <c r="J55" i="22"/>
  <c r="U51" i="22"/>
  <c r="C44" i="27"/>
  <c r="H40" i="27"/>
  <c r="C31" i="24"/>
  <c r="U31" i="23"/>
  <c r="U33" i="23" s="1"/>
  <c r="U39" i="23" s="1"/>
  <c r="U51" i="23" s="1"/>
  <c r="H33" i="23"/>
  <c r="H39" i="23" s="1"/>
  <c r="H51" i="23" s="1"/>
  <c r="M16" i="27"/>
  <c r="M19" i="27" s="1"/>
  <c r="M19" i="26"/>
  <c r="K20" i="27"/>
  <c r="K24" i="27" s="1"/>
  <c r="K24" i="26"/>
  <c r="K26" i="27"/>
  <c r="K28" i="27" s="1"/>
  <c r="K28" i="26"/>
  <c r="K38" i="26"/>
  <c r="K34" i="27"/>
  <c r="K38" i="27" s="1"/>
  <c r="K40" i="27"/>
  <c r="K44" i="27" s="1"/>
  <c r="K44" i="26"/>
  <c r="K7" i="27"/>
  <c r="K11" i="27" s="1"/>
  <c r="K11" i="26"/>
  <c r="G40" i="27"/>
  <c r="G44" i="27" s="1"/>
  <c r="G44" i="26"/>
  <c r="E12" i="27"/>
  <c r="E15" i="27" s="1"/>
  <c r="E15" i="26"/>
  <c r="E26" i="27"/>
  <c r="E28" i="27" s="1"/>
  <c r="E28" i="26"/>
  <c r="E29" i="27"/>
  <c r="E33" i="27" s="1"/>
  <c r="E33" i="26"/>
  <c r="E40" i="27"/>
  <c r="E44" i="27" s="1"/>
  <c r="E44" i="26"/>
  <c r="E7" i="27"/>
  <c r="E11" i="27" s="1"/>
  <c r="E11" i="26"/>
  <c r="I7" i="25"/>
  <c r="N7" i="25" s="1"/>
  <c r="N11" i="24"/>
  <c r="I25" i="24"/>
  <c r="I51" i="24" s="1"/>
  <c r="S12" i="27"/>
  <c r="S15" i="27" s="1"/>
  <c r="S15" i="26"/>
  <c r="Q20" i="27"/>
  <c r="Q24" i="27" s="1"/>
  <c r="Q24" i="26"/>
  <c r="Q25" i="26" s="1"/>
  <c r="Q39" i="27"/>
  <c r="Q7" i="27"/>
  <c r="Q11" i="27" s="1"/>
  <c r="Q11" i="26"/>
  <c r="M20" i="27"/>
  <c r="M24" i="27" s="1"/>
  <c r="M24" i="26"/>
  <c r="M7" i="27"/>
  <c r="M11" i="27" s="1"/>
  <c r="M11" i="26"/>
  <c r="K16" i="27"/>
  <c r="K19" i="27" s="1"/>
  <c r="K19" i="26"/>
  <c r="J54" i="21"/>
  <c r="J55" i="21"/>
  <c r="M59" i="21"/>
  <c r="H63" i="21"/>
  <c r="N56" i="21"/>
  <c r="H62" i="21"/>
  <c r="M60" i="21"/>
  <c r="O58" i="21"/>
  <c r="H59" i="21"/>
  <c r="N58" i="21"/>
  <c r="M57" i="21"/>
  <c r="I63" i="19"/>
  <c r="O58" i="19"/>
  <c r="H59" i="19"/>
  <c r="M57" i="19"/>
  <c r="M60" i="19"/>
  <c r="M59" i="19"/>
  <c r="N56" i="19"/>
  <c r="H63" i="19"/>
  <c r="H62" i="19"/>
  <c r="H60" i="19"/>
  <c r="J55" i="19"/>
  <c r="Q50" i="27" l="1"/>
  <c r="G25" i="27"/>
  <c r="M25" i="27"/>
  <c r="N11" i="25"/>
  <c r="I7" i="26"/>
  <c r="K25" i="27"/>
  <c r="U40" i="27"/>
  <c r="U44" i="27" s="1"/>
  <c r="U50" i="27" s="1"/>
  <c r="H44" i="27"/>
  <c r="H50" i="27" s="1"/>
  <c r="C7" i="26"/>
  <c r="H11" i="25"/>
  <c r="U7" i="25"/>
  <c r="U11" i="25" s="1"/>
  <c r="S25" i="26"/>
  <c r="M50" i="26"/>
  <c r="K51" i="26"/>
  <c r="U26" i="27"/>
  <c r="U28" i="27" s="1"/>
  <c r="H28" i="27"/>
  <c r="N24" i="25"/>
  <c r="N25" i="25" s="1"/>
  <c r="N51" i="25" s="1"/>
  <c r="I20" i="26"/>
  <c r="M51" i="24"/>
  <c r="M51" i="25" s="1"/>
  <c r="M25" i="25"/>
  <c r="O11" i="26"/>
  <c r="T7" i="26"/>
  <c r="O7" i="27" s="1"/>
  <c r="G51" i="24"/>
  <c r="G51" i="25" s="1"/>
  <c r="G25" i="25"/>
  <c r="H38" i="27"/>
  <c r="U34" i="27"/>
  <c r="U38" i="27" s="1"/>
  <c r="C24" i="24"/>
  <c r="C25" i="24" s="1"/>
  <c r="H20" i="24"/>
  <c r="M25" i="26"/>
  <c r="Q25" i="27"/>
  <c r="N25" i="24"/>
  <c r="I11" i="25"/>
  <c r="E50" i="26"/>
  <c r="E51" i="26" s="1"/>
  <c r="K25" i="26"/>
  <c r="K39" i="27"/>
  <c r="K39" i="26"/>
  <c r="J55" i="23"/>
  <c r="H60" i="23"/>
  <c r="H31" i="24"/>
  <c r="C33" i="24"/>
  <c r="C39" i="24" s="1"/>
  <c r="C51" i="24" s="1"/>
  <c r="Q50" i="25"/>
  <c r="Q51" i="24"/>
  <c r="Q51" i="25" s="1"/>
  <c r="S25" i="27"/>
  <c r="S51" i="27" s="1"/>
  <c r="E50" i="27"/>
  <c r="E39" i="27"/>
  <c r="G50" i="27"/>
  <c r="M50" i="27"/>
  <c r="M51" i="27" s="1"/>
  <c r="S39" i="26"/>
  <c r="S51" i="26" s="1"/>
  <c r="O25" i="25"/>
  <c r="T51" i="24"/>
  <c r="O51" i="25" s="1"/>
  <c r="G25" i="26"/>
  <c r="G51" i="26" s="1"/>
  <c r="K50" i="27"/>
  <c r="U29" i="27"/>
  <c r="K51" i="24"/>
  <c r="K51" i="25" s="1"/>
  <c r="K25" i="25"/>
  <c r="E25" i="26"/>
  <c r="Q50" i="26"/>
  <c r="Q51" i="26" s="1"/>
  <c r="E51" i="24"/>
  <c r="E39" i="25"/>
  <c r="S50" i="25"/>
  <c r="S51" i="24"/>
  <c r="S51" i="25" s="1"/>
  <c r="E25" i="27"/>
  <c r="H60" i="21"/>
  <c r="Q51" i="27" l="1"/>
  <c r="G51" i="27"/>
  <c r="K51" i="27"/>
  <c r="C31" i="25"/>
  <c r="H31" i="25" s="1"/>
  <c r="U31" i="24"/>
  <c r="U33" i="24" s="1"/>
  <c r="U39" i="24" s="1"/>
  <c r="H33" i="24"/>
  <c r="N51" i="24"/>
  <c r="I51" i="25" s="1"/>
  <c r="I25" i="25"/>
  <c r="H24" i="24"/>
  <c r="C20" i="25"/>
  <c r="H20" i="25" s="1"/>
  <c r="U20" i="24"/>
  <c r="U24" i="24" s="1"/>
  <c r="U25" i="24" s="1"/>
  <c r="O11" i="27"/>
  <c r="O25" i="27" s="1"/>
  <c r="O51" i="27" s="1"/>
  <c r="T7" i="27"/>
  <c r="T11" i="27" s="1"/>
  <c r="T25" i="27" s="1"/>
  <c r="T51" i="27" s="1"/>
  <c r="M51" i="26"/>
  <c r="J54" i="26" s="1"/>
  <c r="E51" i="25"/>
  <c r="J54" i="24"/>
  <c r="J54" i="25"/>
  <c r="E51" i="27"/>
  <c r="T11" i="26"/>
  <c r="O25" i="26"/>
  <c r="N20" i="26"/>
  <c r="I20" i="27" s="1"/>
  <c r="I24" i="26"/>
  <c r="C11" i="26"/>
  <c r="H11" i="26" s="1"/>
  <c r="H7" i="26"/>
  <c r="I11" i="26"/>
  <c r="N11" i="26" s="1"/>
  <c r="N7" i="26"/>
  <c r="I7" i="27" s="1"/>
  <c r="O28" i="17"/>
  <c r="K28" i="17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P16" i="17"/>
  <c r="P17" i="17" s="1"/>
  <c r="P18" i="17" s="1"/>
  <c r="P19" i="17" s="1"/>
  <c r="P20" i="17" s="1"/>
  <c r="P21" i="17" s="1"/>
  <c r="P22" i="17" s="1"/>
  <c r="P23" i="17" s="1"/>
  <c r="P24" i="17" s="1"/>
  <c r="P25" i="17" s="1"/>
  <c r="L16" i="17"/>
  <c r="L17" i="17" s="1"/>
  <c r="L18" i="17" s="1"/>
  <c r="L19" i="17" s="1"/>
  <c r="L20" i="17" s="1"/>
  <c r="L21" i="17" s="1"/>
  <c r="L22" i="17" s="1"/>
  <c r="L23" i="17" s="1"/>
  <c r="L24" i="17" s="1"/>
  <c r="L25" i="17" s="1"/>
  <c r="J54" i="27" l="1"/>
  <c r="U11" i="26"/>
  <c r="I24" i="27"/>
  <c r="N20" i="27"/>
  <c r="N24" i="27" s="1"/>
  <c r="C20" i="26"/>
  <c r="H24" i="25"/>
  <c r="H25" i="25" s="1"/>
  <c r="U20" i="25"/>
  <c r="U24" i="25" s="1"/>
  <c r="U25" i="25" s="1"/>
  <c r="C33" i="25"/>
  <c r="H39" i="24"/>
  <c r="C31" i="26"/>
  <c r="U31" i="25"/>
  <c r="U33" i="25" s="1"/>
  <c r="U39" i="25" s="1"/>
  <c r="U51" i="25" s="1"/>
  <c r="H33" i="25"/>
  <c r="H39" i="25" s="1"/>
  <c r="H51" i="25" s="1"/>
  <c r="I11" i="27"/>
  <c r="N7" i="27"/>
  <c r="C7" i="27"/>
  <c r="U7" i="26"/>
  <c r="N24" i="26"/>
  <c r="I25" i="26"/>
  <c r="T25" i="26"/>
  <c r="O51" i="26"/>
  <c r="T51" i="26" s="1"/>
  <c r="C24" i="25"/>
  <c r="H25" i="24"/>
  <c r="C25" i="25" s="1"/>
  <c r="U51" i="24"/>
  <c r="N28" i="17"/>
  <c r="P32" i="17" s="1"/>
  <c r="J28" i="17"/>
  <c r="L32" i="17" s="1"/>
  <c r="F28" i="17"/>
  <c r="G28" i="17"/>
  <c r="G32" i="17" s="1"/>
  <c r="C11" i="27" l="1"/>
  <c r="H7" i="27"/>
  <c r="H11" i="27" s="1"/>
  <c r="H51" i="24"/>
  <c r="C39" i="25"/>
  <c r="H20" i="26"/>
  <c r="C24" i="26"/>
  <c r="I25" i="27"/>
  <c r="I51" i="27" s="1"/>
  <c r="I51" i="26"/>
  <c r="N51" i="26" s="1"/>
  <c r="N25" i="26"/>
  <c r="U7" i="27"/>
  <c r="U11" i="27" s="1"/>
  <c r="N11" i="27"/>
  <c r="N25" i="27" s="1"/>
  <c r="N51" i="27" s="1"/>
  <c r="H60" i="25"/>
  <c r="J55" i="25"/>
  <c r="H31" i="26"/>
  <c r="C33" i="26"/>
  <c r="L26" i="17"/>
  <c r="L27" i="17" s="1"/>
  <c r="P26" i="17"/>
  <c r="P27" i="17" s="1"/>
  <c r="H26" i="17"/>
  <c r="H27" i="17" s="1"/>
  <c r="H32" i="17"/>
  <c r="H37" i="17" s="1"/>
  <c r="F32" i="17"/>
  <c r="F37" i="17" s="1"/>
  <c r="C31" i="27" l="1"/>
  <c r="U31" i="26"/>
  <c r="H24" i="26"/>
  <c r="U24" i="26" s="1"/>
  <c r="C25" i="26"/>
  <c r="H25" i="26" s="1"/>
  <c r="U25" i="26" s="1"/>
  <c r="H33" i="26"/>
  <c r="U33" i="26" s="1"/>
  <c r="C39" i="26"/>
  <c r="O60" i="27"/>
  <c r="O60" i="26"/>
  <c r="C20" i="27"/>
  <c r="U20" i="26"/>
  <c r="C51" i="25"/>
  <c r="J55" i="24"/>
  <c r="H60" i="24"/>
  <c r="H39" i="26" l="1"/>
  <c r="U39" i="26" s="1"/>
  <c r="C51" i="26"/>
  <c r="H51" i="26" s="1"/>
  <c r="C24" i="27"/>
  <c r="C25" i="27" s="1"/>
  <c r="H20" i="27"/>
  <c r="H31" i="27"/>
  <c r="C33" i="27"/>
  <c r="C39" i="27" s="1"/>
  <c r="C51" i="27" s="1"/>
  <c r="H24" i="27" l="1"/>
  <c r="H25" i="27" s="1"/>
  <c r="U20" i="27"/>
  <c r="U24" i="27" s="1"/>
  <c r="U25" i="27" s="1"/>
  <c r="U51" i="26"/>
  <c r="J55" i="26"/>
  <c r="H60" i="26"/>
  <c r="U31" i="27"/>
  <c r="U33" i="27" s="1"/>
  <c r="U39" i="27" s="1"/>
  <c r="H33" i="27"/>
  <c r="H39" i="27" s="1"/>
  <c r="H51" i="27" s="1"/>
  <c r="U51" i="27" l="1"/>
  <c r="H60" i="27"/>
  <c r="J55" i="27"/>
</calcChain>
</file>

<file path=xl/sharedStrings.xml><?xml version="1.0" encoding="utf-8"?>
<sst xmlns="http://schemas.openxmlformats.org/spreadsheetml/2006/main" count="953" uniqueCount="83">
  <si>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</si>
  <si>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</si>
  <si>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</si>
  <si>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</si>
  <si>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</si>
  <si>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</si>
  <si>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</si>
  <si>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</si>
  <si>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</si>
  <si>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</si>
  <si>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</si>
  <si>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</si>
  <si>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</si>
  <si>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</si>
  <si>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</si>
  <si>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</si>
  <si>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</si>
  <si>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</si>
  <si>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</si>
  <si>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</si>
  <si>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</si>
  <si>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</si>
  <si>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</si>
  <si>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</si>
  <si>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</si>
  <si>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</si>
  <si>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</si>
  <si>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</si>
  <si>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</si>
  <si>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</si>
  <si>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</si>
  <si>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</si>
  <si>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</si>
  <si>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</si>
  <si>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</si>
  <si>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</si>
  <si>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Magadi</t>
  </si>
  <si>
    <t>Kanakpura</t>
  </si>
  <si>
    <t>Chandapura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</si>
  <si>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</si>
  <si>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</si>
  <si>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</si>
  <si>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</si>
  <si>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</si>
  <si>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</si>
  <si>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</si>
  <si>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</si>
  <si>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</si>
  <si>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</si>
  <si>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</si>
  <si>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</si>
  <si>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</si>
  <si>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</si>
  <si>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</si>
  <si>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</si>
  <si>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</si>
  <si>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</si>
  <si>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</si>
  <si>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</si>
  <si>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</si>
  <si>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</si>
  <si>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</si>
  <si>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</si>
  <si>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</si>
  <si>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</si>
  <si>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>Ramanagar Circle</t>
  </si>
  <si>
    <t>Over Head</t>
  </si>
  <si>
    <t>UG</t>
  </si>
  <si>
    <t>AB Cable</t>
  </si>
  <si>
    <t xml:space="preserve">Added for the month </t>
  </si>
  <si>
    <t>Dimantled</t>
  </si>
  <si>
    <t>Division-wise HT Overhead lines, U.G. &amp; ABC Cables added &amp; dismantled during the month of March 2022 &amp; during the Year 2021-22 in Route km</t>
  </si>
  <si>
    <t>Division-wise HT Overhead lines, U.G. &amp; ABC Cables added &amp; dismantled during the month of April 2022 &amp; during the Year 2022-23 in Route km</t>
  </si>
  <si>
    <t>Division-wise HT Overhead lines, U.G. &amp; ABC Cables added &amp; dismantled during the month of May  2022 &amp; during the Year 2022-23 in Route km</t>
  </si>
  <si>
    <t>Division-wise HT Overhead lines, U.G. &amp; ABC Cables added &amp; dismantled during the month of June 2022 &amp; during the Year 2022-23 in Route km</t>
  </si>
  <si>
    <t>Division-wise HT Overhead lines, U.G. &amp; ABC Cables added &amp; dismantled during the month of July 2022 &amp; during the Year 2022-23 in Route km</t>
  </si>
  <si>
    <t>Division-wise HT Overhead lines, U.G. &amp; ABC Cables added &amp; dismantled during the month of August 2022 &amp; during the Year 2022-23 in Route km</t>
  </si>
  <si>
    <t>Division-wise HT Overhead lines, U.G. &amp; ABC Cables added &amp; dismantled during the month of September 2022 &amp; during the Year 2022-23 in Route km</t>
  </si>
  <si>
    <t>Division-wise HT Overhead lines, U.G. &amp; ABC Cables added &amp; dismantled during the month of October 2022 &amp; during the Year 2022-23 in Route km</t>
  </si>
  <si>
    <t xml:space="preserve"> to be added</t>
  </si>
  <si>
    <t>Division-wise HT Overhead lines, U.G. &amp; ABC Cables added &amp; dismantled during the month of November 2022 &amp; during the Year 2022-23 in Route km</t>
  </si>
  <si>
    <t>Division-wise HT Overhead lines, U.G. &amp; ABC Cables added &amp; dismantled during the month of  December 2022 &amp; during the Year 2022-23 in Route km</t>
  </si>
  <si>
    <t>Division-wise HT Overhead lines, U.G. &amp; ABC Cables added &amp; dismantled during the month of  Janaury 2023 &amp; during the Year 2022-23 in Route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</si>
</sst>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#,##0.0000_);\(#,##0.0000\)"/>
    <numFmt numFmtId="168" formatCode="_-* #,##0\ &quot;F&quot;_-;\-* #,##0\ &quot;F&quot;_-;_-* &quot;-&quot;\ &quot;F&quot;_-;_-@_-"/>
    <numFmt numFmtId="169" formatCode="0.00000_)"/>
    <numFmt numFmtId="170" formatCode="_-* #,##0\ _F_-;\-* #,##0\ _F_-;_-* &quot;-&quot;\ _F_-;_-@_-"/>
    <numFmt numFmtId="171" formatCode="&quot;\&quot;#,##0.00;[Red]\-&quot;\&quot;#,##0.00"/>
    <numFmt numFmtId="172" formatCode="_([$€-2]* #,##0.00_);_([$€-2]* \(#,##0.00\);_([$€-2]* &quot;-&quot;??_)"/>
    <numFmt numFmtId="173" formatCode="#,##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Bookman Old Style"/>
      <family val="1"/>
    </font>
    <font>
      <sz val="24"/>
      <name val="Bookman Old Style"/>
      <family val="1"/>
    </font>
    <font>
      <b/>
      <sz val="24"/>
      <name val="Bookman Old Style"/>
      <family val="1"/>
    </font>
    <font>
      <sz val="24"/>
      <color theme="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ngsanaUPC"/>
      <family val="1"/>
      <charset val="222"/>
    </font>
    <font>
      <sz val="12"/>
      <name val="¹ÙÅÁÃ¼"/>
      <charset val="129"/>
    </font>
    <font>
      <sz val="10"/>
      <color indexed="10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sz val="12"/>
      <name val="Times New Roman"/>
      <family val="1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u/>
      <sz val="7"/>
      <color theme="10"/>
      <name val="Arial"/>
      <family val="2"/>
    </font>
    <font>
      <sz val="12"/>
      <color theme="1"/>
      <name val="Calibri"/>
      <family val="2"/>
      <scheme val="minor"/>
    </font>
    <font>
      <b/>
      <u/>
      <sz val="24"/>
      <name val="Bookman Old Style"/>
      <family val="1"/>
    </font>
    <font>
      <sz val="24"/>
      <color theme="1"/>
      <name val="Bookman Old Style"/>
      <family val="1"/>
    </font>
    <font>
      <b/>
      <sz val="24"/>
      <color theme="0"/>
      <name val="Bookman Old Style"/>
      <family val="1"/>
    </font>
    <font>
      <b/>
      <sz val="22"/>
      <name val="Bookman Old Style"/>
      <family val="1"/>
    </font>
    <font>
      <sz val="22"/>
      <color theme="1"/>
      <name val="Bookman Old Style"/>
      <family val="1"/>
    </font>
    <font>
      <sz val="22"/>
      <name val="Bookman Old Style"/>
      <family val="1"/>
    </font>
    <font>
      <b/>
      <sz val="20"/>
      <color theme="0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0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2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3" borderId="0" applyNumberFormat="0" applyBorder="0" applyAlignment="0" applyProtection="0"/>
    <xf numFmtId="0" fontId="29" fillId="0" borderId="0"/>
    <xf numFmtId="0" fontId="11" fillId="20" borderId="2" applyNumberFormat="0" applyAlignment="0" applyProtection="0"/>
    <xf numFmtId="0" fontId="12" fillId="21" borderId="3" applyNumberFormat="0" applyAlignment="0" applyProtection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3" fontId="30" fillId="0" borderId="4">
      <alignment horizontal="right"/>
    </xf>
    <xf numFmtId="0" fontId="14" fillId="4" borderId="0" applyNumberFormat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6">
      <alignment horizontal="left" vertical="center"/>
    </xf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7" borderId="2" applyNumberFormat="0" applyAlignment="0" applyProtection="0"/>
    <xf numFmtId="0" fontId="20" fillId="0" borderId="10" applyNumberFormat="0" applyFill="0" applyAlignment="0" applyProtection="0"/>
    <xf numFmtId="0" fontId="21" fillId="22" borderId="0" applyNumberFormat="0" applyBorder="0" applyAlignment="0" applyProtection="0"/>
    <xf numFmtId="37" fontId="3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7" fillId="23" borderId="11" applyNumberFormat="0" applyFont="0" applyAlignment="0" applyProtection="0"/>
    <xf numFmtId="0" fontId="2" fillId="23" borderId="11" applyNumberFormat="0" applyFont="0" applyAlignment="0" applyProtection="0"/>
    <xf numFmtId="0" fontId="22" fillId="20" borderId="12" applyNumberFormat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Font="0"/>
    <xf numFmtId="164" fontId="2" fillId="0" borderId="0" applyNumberFormat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27" fillId="0" borderId="0">
      <alignment vertical="top"/>
    </xf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148">
    <xf numFmtId="0" fontId="0" fillId="0" borderId="0" xfId="0"/>
    <xf numFmtId="2" fontId="4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wrapText="1"/>
    </xf>
    <xf numFmtId="2" fontId="4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0" fillId="0" borderId="0" xfId="1" applyFont="1" applyFill="1" applyBorder="1" applyAlignment="1">
      <alignment wrapText="1"/>
    </xf>
    <xf numFmtId="0" fontId="40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wrapText="1"/>
    </xf>
    <xf numFmtId="2" fontId="4" fillId="0" borderId="0" xfId="1" applyNumberFormat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vertical="center" wrapText="1"/>
    </xf>
    <xf numFmtId="2" fontId="41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right" wrapText="1"/>
    </xf>
    <xf numFmtId="2" fontId="42" fillId="0" borderId="0" xfId="1" applyNumberFormat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2" fontId="45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2" fontId="4" fillId="0" borderId="1" xfId="18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6" fillId="0" borderId="0" xfId="0" applyFont="1" applyFill="1"/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/>
    </xf>
    <xf numFmtId="1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24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9" fillId="0" borderId="0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50" fillId="0" borderId="0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0" fillId="25" borderId="0" xfId="0" applyNumberForma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25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2" fillId="24" borderId="1" xfId="1" applyFont="1" applyFill="1" applyBorder="1" applyAlignment="1">
      <alignment horizontal="center" vertical="center" wrapText="1"/>
    </xf>
    <xf numFmtId="2" fontId="4" fillId="26" borderId="1" xfId="1" applyNumberFormat="1" applyFont="1" applyFill="1" applyBorder="1" applyAlignment="1">
      <alignment horizontal="center" vertical="center" wrapText="1"/>
    </xf>
    <xf numFmtId="2" fontId="5" fillId="25" borderId="1" xfId="1" applyNumberFormat="1" applyFont="1" applyFill="1" applyBorder="1" applyAlignment="1">
      <alignment horizontal="center" vertical="center" wrapText="1"/>
    </xf>
    <xf numFmtId="0" fontId="4" fillId="24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24" borderId="1" xfId="1" applyNumberFormat="1" applyFont="1" applyFill="1" applyBorder="1" applyAlignment="1">
      <alignment horizontal="center" vertical="center" wrapText="1"/>
    </xf>
    <xf numFmtId="0" fontId="42" fillId="25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/>
    </xf>
  </cellXfs>
  <cellStyles count="1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75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ÅëÈ­ [0]_±âÅ¸" xfId="30"/>
    <cellStyle name="ÅëÈ­_±âÅ¸" xfId="31"/>
    <cellStyle name="ÄÞ¸¶ [0]_±âÅ¸" xfId="32"/>
    <cellStyle name="ÄÞ¸¶_±âÅ¸" xfId="33"/>
    <cellStyle name="Bad 2" xfId="34"/>
    <cellStyle name="Ç¥ÁØ_¿¬°£´©°è¿¹»ó" xfId="35"/>
    <cellStyle name="Calculation 2" xfId="36"/>
    <cellStyle name="Check Cell 2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mma 2" xfId="46"/>
    <cellStyle name="Comma 2 2" xfId="47"/>
    <cellStyle name="Comma 2 2 2" xfId="48"/>
    <cellStyle name="Comma 2 3" xfId="49"/>
    <cellStyle name="Comma 2 4" xfId="50"/>
    <cellStyle name="Comma 3" xfId="51"/>
    <cellStyle name="Comma 4" xfId="52"/>
    <cellStyle name="Comma 5" xfId="53"/>
    <cellStyle name="Currency 2" xfId="54"/>
    <cellStyle name="Currency 2 2" xfId="55"/>
    <cellStyle name="Currency 3" xfId="56"/>
    <cellStyle name="Currency 4" xfId="57"/>
    <cellStyle name="Euro" xfId="58"/>
    <cellStyle name="Explanatory Text 2" xfId="59"/>
    <cellStyle name="Formula" xfId="60"/>
    <cellStyle name="Good 2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yperlink 2" xfId="68"/>
    <cellStyle name="Hyperlink 3" xfId="69"/>
    <cellStyle name="Hypertextový odkaz" xfId="70"/>
    <cellStyle name="Input 2" xfId="71"/>
    <cellStyle name="Linked Cell 2" xfId="72"/>
    <cellStyle name="Neutral 2" xfId="73"/>
    <cellStyle name="no dec" xfId="74"/>
    <cellStyle name="Nor}al" xfId="75"/>
    <cellStyle name="Normal" xfId="0" builtinId="0"/>
    <cellStyle name="Normal - Style1" xfId="76"/>
    <cellStyle name="Normal 10" xfId="77"/>
    <cellStyle name="Normal 10 16" xfId="78"/>
    <cellStyle name="Normal 10 2" xfId="79"/>
    <cellStyle name="Normal 11" xfId="80"/>
    <cellStyle name="Normal 12" xfId="81"/>
    <cellStyle name="Normal 12 2" xfId="82"/>
    <cellStyle name="Normal 13" xfId="83"/>
    <cellStyle name="Normal 138_EEPhoneNos" xfId="84"/>
    <cellStyle name="Normal 14" xfId="85"/>
    <cellStyle name="Normal 14 2" xfId="86"/>
    <cellStyle name="Normal 14_January-2010  Fortnight WS Tra NEW" xfId="87"/>
    <cellStyle name="Normal 15" xfId="88"/>
    <cellStyle name="Normal 16" xfId="89"/>
    <cellStyle name="Normal 17" xfId="90"/>
    <cellStyle name="Normal 18" xfId="91"/>
    <cellStyle name="Normal 19" xfId="92"/>
    <cellStyle name="Normal 2" xfId="1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2"/>
    <cellStyle name="Normal 2 2 2" xfId="103"/>
    <cellStyle name="Normal 2 2 3" xfId="104"/>
    <cellStyle name="Normal 2 2_Meeting_Notes_09-03-2009" xfId="105"/>
    <cellStyle name="Normal 2 3" xfId="106"/>
    <cellStyle name="Normal 2 4" xfId="107"/>
    <cellStyle name="Normal 2 4 2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"/>
    <cellStyle name="Normal 20 2" xfId="115"/>
    <cellStyle name="Normal 20 3" xfId="114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 2 2" xfId="127"/>
    <cellStyle name="Normal 3 3" xfId="128"/>
    <cellStyle name="Normal 3 3 2" xfId="129"/>
    <cellStyle name="Normal 3 4" xfId="130"/>
    <cellStyle name="Normal 3 5" xfId="131"/>
    <cellStyle name="Normal 3_Weekly transformer New format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2" xfId="144"/>
    <cellStyle name="Normal 4 3" xfId="145"/>
    <cellStyle name="Normal 4_Feederwise TCs as on June-08" xfId="146"/>
    <cellStyle name="Normal 40" xfId="147"/>
    <cellStyle name="Normal 41" xfId="4"/>
    <cellStyle name="Normal 41 2" xfId="182"/>
    <cellStyle name="Normal 5" xfId="148"/>
    <cellStyle name="Normal 5 2" xfId="149"/>
    <cellStyle name="Normal 5 2 2" xfId="150"/>
    <cellStyle name="Normal 6" xfId="151"/>
    <cellStyle name="Normal 6 2" xfId="152"/>
    <cellStyle name="Normal 6 2 2" xfId="153"/>
    <cellStyle name="Normal 6 2_MIS-Dec-2008 " xfId="154"/>
    <cellStyle name="Normal 7" xfId="155"/>
    <cellStyle name="Normal 7 2" xfId="156"/>
    <cellStyle name="Normal 7_Agenda-1 MMR Meeting for the month of December-2009" xfId="157"/>
    <cellStyle name="Normal 8" xfId="158"/>
    <cellStyle name="Normal 8 2" xfId="159"/>
    <cellStyle name="Normal 8 3" xfId="160"/>
    <cellStyle name="Normal 8_Meeting Booklet (Tech Formates) Dec-08" xfId="161"/>
    <cellStyle name="Normal 9" xfId="162"/>
    <cellStyle name="Normal 9 2" xfId="163"/>
    <cellStyle name="Note 2" xfId="165"/>
    <cellStyle name="Note 3" xfId="164"/>
    <cellStyle name="Output 2" xfId="166"/>
    <cellStyle name="Percent 2" xfId="167"/>
    <cellStyle name="Percent 2 2" xfId="168"/>
    <cellStyle name="Percent 2 3" xfId="169"/>
    <cellStyle name="Percent 3" xfId="170"/>
    <cellStyle name="Percent 4" xfId="171"/>
    <cellStyle name="Percent 5" xfId="172"/>
    <cellStyle name="Percent 6" xfId="173"/>
    <cellStyle name="Popis" xfId="174"/>
    <cellStyle name="Rs" xfId="175"/>
    <cellStyle name="Sledovaný hypertextový odkaz" xfId="176"/>
    <cellStyle name="Standard_BS14" xfId="177"/>
    <cellStyle name="Style 1" xfId="178"/>
    <cellStyle name="Title 2" xfId="179"/>
    <cellStyle name="Total 2" xfId="180"/>
    <cellStyle name="Warning Text 2" xfId="1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06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5031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HT%20LINES%20FY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esktop/New%20folder/HT%20Lines%20FY%202021-22%20ab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MAY 2020"/>
      <sheetName val="JUNE 2020"/>
      <sheetName val="July 2020"/>
      <sheetName val="aug 2020"/>
      <sheetName val="braz"/>
      <sheetName val="brc"/>
      <sheetName val="kolar"/>
      <sheetName val="ramanagr"/>
      <sheetName val="CIRCLE"/>
      <sheetName val="DIFF"/>
      <sheetName val="ht"/>
      <sheetName val="sep 2020 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J56">
            <v>116750.91089999999</v>
          </cell>
        </row>
      </sheetData>
      <sheetData sheetId="14"/>
      <sheetData sheetId="15">
        <row r="56">
          <cell r="J56">
            <v>118614.85089999999</v>
          </cell>
        </row>
      </sheetData>
      <sheetData sheetId="16"/>
      <sheetData sheetId="17"/>
      <sheetData sheetId="18">
        <row r="55">
          <cell r="J55">
            <v>119695.70789999999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heet1 (2)"/>
    </sheetNames>
    <sheetDataSet>
      <sheetData sheetId="0"/>
      <sheetData sheetId="1">
        <row r="55">
          <cell r="J55">
            <v>120216.5189</v>
          </cell>
        </row>
      </sheetData>
      <sheetData sheetId="2"/>
      <sheetData sheetId="3">
        <row r="55">
          <cell r="J55">
            <v>120676.49890000001</v>
          </cell>
        </row>
      </sheetData>
      <sheetData sheetId="4">
        <row r="55">
          <cell r="J55">
            <v>121005.26989999998</v>
          </cell>
        </row>
      </sheetData>
      <sheetData sheetId="5">
        <row r="7">
          <cell r="E7">
            <v>0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7">
          <cell r="J47">
            <v>32.905000000000001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zoomScale="40" zoomScaleNormal="40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J54" sqref="J54"/>
    </sheetView>
  </sheetViews>
  <sheetFormatPr defaultRowHeight="31.5"/>
  <cols>
    <col min="1" max="1" width="11.5703125" style="5" customWidth="1"/>
    <col min="2" max="2" width="40.7109375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4" customWidth="1"/>
    <col min="20" max="20" width="25.42578125" style="13" customWidth="1"/>
    <col min="21" max="21" width="32.85546875" style="13" customWidth="1"/>
    <col min="22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36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35" t="s">
        <v>11</v>
      </c>
      <c r="E6" s="35" t="s">
        <v>12</v>
      </c>
      <c r="F6" s="35" t="s">
        <v>11</v>
      </c>
      <c r="G6" s="35" t="s">
        <v>12</v>
      </c>
      <c r="H6" s="135"/>
      <c r="I6" s="138"/>
      <c r="J6" s="35" t="s">
        <v>11</v>
      </c>
      <c r="K6" s="35" t="s">
        <v>12</v>
      </c>
      <c r="L6" s="35" t="s">
        <v>11</v>
      </c>
      <c r="M6" s="35" t="s">
        <v>12</v>
      </c>
      <c r="N6" s="135"/>
      <c r="O6" s="138"/>
      <c r="P6" s="35" t="s">
        <v>11</v>
      </c>
      <c r="Q6" s="35" t="s">
        <v>12</v>
      </c>
      <c r="R6" s="35" t="s">
        <v>11</v>
      </c>
      <c r="S6" s="35" t="s">
        <v>12</v>
      </c>
      <c r="T6" s="135"/>
      <c r="U6" s="135"/>
    </row>
    <row r="7" spans="1:21" ht="38.25" customHeight="1">
      <c r="A7" s="36">
        <v>1</v>
      </c>
      <c r="B7" s="38" t="s">
        <v>13</v>
      </c>
      <c r="C7" s="1">
        <v>189.45999999999998</v>
      </c>
      <c r="D7" s="1">
        <v>0</v>
      </c>
      <c r="E7" s="1">
        <v>0</v>
      </c>
      <c r="F7" s="1">
        <v>99.42</v>
      </c>
      <c r="G7" s="1">
        <v>108.378</v>
      </c>
      <c r="H7" s="1">
        <f>C7+D7-F7</f>
        <v>90.039999999999978</v>
      </c>
      <c r="I7" s="1">
        <v>406.92799999999983</v>
      </c>
      <c r="J7" s="1">
        <v>177.28899999999999</v>
      </c>
      <c r="K7" s="1">
        <v>221.62200000000001</v>
      </c>
      <c r="L7" s="1">
        <v>0</v>
      </c>
      <c r="M7" s="1">
        <v>0</v>
      </c>
      <c r="N7" s="1">
        <f>I7+J7-L7</f>
        <v>584.21699999999987</v>
      </c>
      <c r="O7" s="1">
        <v>18.390000000000008</v>
      </c>
      <c r="P7" s="1">
        <v>0</v>
      </c>
      <c r="Q7" s="1">
        <v>2.88</v>
      </c>
      <c r="R7" s="1">
        <v>8.9440000000000008</v>
      </c>
      <c r="S7" s="1">
        <v>10.824000000000002</v>
      </c>
      <c r="T7" s="1">
        <f>O7+P7-R7</f>
        <v>9.4460000000000068</v>
      </c>
      <c r="U7" s="1">
        <f>H7+N7+T7</f>
        <v>683.70299999999986</v>
      </c>
    </row>
    <row r="8" spans="1:21" ht="38.25" customHeight="1">
      <c r="A8" s="36">
        <v>2</v>
      </c>
      <c r="B8" s="38" t="s">
        <v>14</v>
      </c>
      <c r="C8" s="1">
        <v>265.39</v>
      </c>
      <c r="D8" s="1">
        <v>0</v>
      </c>
      <c r="E8" s="1">
        <v>0</v>
      </c>
      <c r="F8" s="1">
        <v>0</v>
      </c>
      <c r="G8" s="1">
        <v>0</v>
      </c>
      <c r="H8" s="1">
        <f t="shared" ref="H8:H48" si="0">C8+D8-F8</f>
        <v>265.39</v>
      </c>
      <c r="I8" s="1">
        <v>309.51499999999999</v>
      </c>
      <c r="J8" s="1">
        <v>2.4649999999999999</v>
      </c>
      <c r="K8" s="1">
        <v>49.8</v>
      </c>
      <c r="L8" s="1">
        <v>0</v>
      </c>
      <c r="M8" s="1">
        <v>0</v>
      </c>
      <c r="N8" s="1">
        <f t="shared" ref="N8:N48" si="1">I8+J8-L8</f>
        <v>311.97999999999996</v>
      </c>
      <c r="O8" s="1">
        <v>66.290000000000006</v>
      </c>
      <c r="P8" s="1">
        <v>0</v>
      </c>
      <c r="Q8" s="1">
        <v>3.18</v>
      </c>
      <c r="R8" s="1">
        <v>0</v>
      </c>
      <c r="S8" s="1">
        <v>0</v>
      </c>
      <c r="T8" s="1">
        <f t="shared" ref="T8:T48" si="2">O8+P8-R8</f>
        <v>66.290000000000006</v>
      </c>
      <c r="U8" s="1">
        <f t="shared" ref="U8:U48" si="3">H8+N8+T8</f>
        <v>643.65999999999985</v>
      </c>
    </row>
    <row r="9" spans="1:21" ht="38.25" customHeight="1">
      <c r="A9" s="36">
        <v>3</v>
      </c>
      <c r="B9" s="38" t="s">
        <v>15</v>
      </c>
      <c r="C9" s="1">
        <v>209.16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209.16</v>
      </c>
      <c r="I9" s="1">
        <v>698.24800000000005</v>
      </c>
      <c r="J9" s="1">
        <v>2.78</v>
      </c>
      <c r="K9" s="1">
        <v>17.5</v>
      </c>
      <c r="L9" s="1">
        <v>0</v>
      </c>
      <c r="M9" s="1">
        <v>0</v>
      </c>
      <c r="N9" s="1">
        <f t="shared" si="1"/>
        <v>701.02800000000002</v>
      </c>
      <c r="O9" s="1">
        <v>44.739999999999995</v>
      </c>
      <c r="P9" s="1">
        <v>0</v>
      </c>
      <c r="Q9" s="1">
        <v>0</v>
      </c>
      <c r="R9" s="1">
        <v>0</v>
      </c>
      <c r="S9" s="1">
        <v>0</v>
      </c>
      <c r="T9" s="1">
        <f t="shared" si="2"/>
        <v>44.739999999999995</v>
      </c>
      <c r="U9" s="1">
        <f t="shared" si="3"/>
        <v>954.928</v>
      </c>
    </row>
    <row r="10" spans="1:21" s="7" customFormat="1" ht="38.25" customHeight="1">
      <c r="A10" s="36">
        <v>4</v>
      </c>
      <c r="B10" s="38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s="1">
        <v>342.09499999999997</v>
      </c>
      <c r="J10" s="1">
        <v>0.28000000000000003</v>
      </c>
      <c r="K10" s="1">
        <v>4.8199999999999994</v>
      </c>
      <c r="L10" s="1">
        <v>0</v>
      </c>
      <c r="M10" s="1">
        <v>0</v>
      </c>
      <c r="N10" s="1">
        <f t="shared" si="1"/>
        <v>342.37499999999994</v>
      </c>
      <c r="O10" s="1">
        <v>0.20000000000000007</v>
      </c>
      <c r="P10" s="1">
        <v>0</v>
      </c>
      <c r="Q10" s="1">
        <v>0</v>
      </c>
      <c r="R10" s="1">
        <v>0</v>
      </c>
      <c r="S10" s="1">
        <v>0</v>
      </c>
      <c r="T10" s="1">
        <f t="shared" si="2"/>
        <v>0.20000000000000007</v>
      </c>
      <c r="U10" s="1">
        <f t="shared" si="3"/>
        <v>342.57499999999993</v>
      </c>
    </row>
    <row r="11" spans="1:21" s="7" customFormat="1" ht="38.25" customHeight="1">
      <c r="A11" s="35"/>
      <c r="B11" s="37" t="s">
        <v>17</v>
      </c>
      <c r="C11" s="2">
        <f>SUM(C7:C10)</f>
        <v>664.01</v>
      </c>
      <c r="D11" s="2">
        <f t="shared" ref="D11:U11" si="4">SUM(D7:D10)</f>
        <v>0</v>
      </c>
      <c r="E11" s="2">
        <f t="shared" si="4"/>
        <v>0</v>
      </c>
      <c r="F11" s="2">
        <f t="shared" si="4"/>
        <v>99.42</v>
      </c>
      <c r="G11" s="2">
        <f t="shared" si="4"/>
        <v>108.378</v>
      </c>
      <c r="H11" s="2">
        <f t="shared" si="4"/>
        <v>564.58999999999992</v>
      </c>
      <c r="I11" s="2">
        <f t="shared" si="4"/>
        <v>1756.7859999999998</v>
      </c>
      <c r="J11" s="2">
        <f t="shared" si="4"/>
        <v>182.81399999999999</v>
      </c>
      <c r="K11" s="2">
        <f t="shared" si="4"/>
        <v>293.74200000000002</v>
      </c>
      <c r="L11" s="2">
        <f t="shared" si="4"/>
        <v>0</v>
      </c>
      <c r="M11" s="2">
        <f t="shared" si="4"/>
        <v>0</v>
      </c>
      <c r="N11" s="2">
        <f t="shared" si="4"/>
        <v>1939.6</v>
      </c>
      <c r="O11" s="2">
        <f t="shared" si="4"/>
        <v>129.62</v>
      </c>
      <c r="P11" s="2">
        <f t="shared" si="4"/>
        <v>0</v>
      </c>
      <c r="Q11" s="2">
        <f t="shared" si="4"/>
        <v>6.0600000000000005</v>
      </c>
      <c r="R11" s="2">
        <f t="shared" si="4"/>
        <v>8.9440000000000008</v>
      </c>
      <c r="S11" s="2">
        <f t="shared" si="4"/>
        <v>10.824000000000002</v>
      </c>
      <c r="T11" s="2">
        <f t="shared" si="4"/>
        <v>120.67600000000002</v>
      </c>
      <c r="U11" s="2">
        <f t="shared" si="4"/>
        <v>2624.8659999999995</v>
      </c>
    </row>
    <row r="12" spans="1:21" ht="38.25" customHeight="1">
      <c r="A12" s="36">
        <v>5</v>
      </c>
      <c r="B12" s="38" t="s">
        <v>18</v>
      </c>
      <c r="C12" s="1">
        <v>355.3099999999996</v>
      </c>
      <c r="D12" s="1">
        <v>0</v>
      </c>
      <c r="E12" s="1">
        <v>0</v>
      </c>
      <c r="F12" s="1">
        <v>0</v>
      </c>
      <c r="G12" s="1">
        <v>81.02</v>
      </c>
      <c r="H12" s="1">
        <f t="shared" si="0"/>
        <v>355.3099999999996</v>
      </c>
      <c r="I12" s="1">
        <v>803.99499999999989</v>
      </c>
      <c r="J12" s="31">
        <v>0.71</v>
      </c>
      <c r="K12" s="1">
        <v>68.534999999999997</v>
      </c>
      <c r="L12" s="1">
        <v>0</v>
      </c>
      <c r="M12" s="1">
        <v>0</v>
      </c>
      <c r="N12" s="1">
        <f t="shared" si="1"/>
        <v>804.70499999999993</v>
      </c>
      <c r="O12" s="1">
        <v>36.850000000000009</v>
      </c>
      <c r="P12" s="1">
        <v>0</v>
      </c>
      <c r="Q12" s="1">
        <v>0</v>
      </c>
      <c r="R12" s="1">
        <v>0</v>
      </c>
      <c r="S12" s="1">
        <v>0</v>
      </c>
      <c r="T12" s="1">
        <f t="shared" si="2"/>
        <v>36.850000000000009</v>
      </c>
      <c r="U12" s="1">
        <f t="shared" si="3"/>
        <v>1196.8649999999993</v>
      </c>
    </row>
    <row r="13" spans="1:21" ht="38.25" customHeight="1">
      <c r="A13" s="36">
        <v>6</v>
      </c>
      <c r="B13" s="38" t="s">
        <v>19</v>
      </c>
      <c r="C13" s="1">
        <v>312.23000000000013</v>
      </c>
      <c r="D13" s="1">
        <v>0</v>
      </c>
      <c r="E13" s="1">
        <v>0.85</v>
      </c>
      <c r="F13" s="1">
        <v>0</v>
      </c>
      <c r="G13" s="1">
        <v>0</v>
      </c>
      <c r="H13" s="1">
        <f t="shared" si="0"/>
        <v>312.23000000000013</v>
      </c>
      <c r="I13" s="1">
        <v>527.55200000000025</v>
      </c>
      <c r="J13" s="31">
        <v>0.98</v>
      </c>
      <c r="K13" s="1">
        <v>11.661999999999999</v>
      </c>
      <c r="L13" s="1">
        <v>0</v>
      </c>
      <c r="M13" s="1">
        <v>0</v>
      </c>
      <c r="N13" s="1">
        <f t="shared" si="1"/>
        <v>528.53200000000027</v>
      </c>
      <c r="O13" s="1">
        <v>68.39</v>
      </c>
      <c r="P13" s="1">
        <v>0</v>
      </c>
      <c r="Q13" s="1">
        <v>0</v>
      </c>
      <c r="R13" s="1">
        <v>0</v>
      </c>
      <c r="S13" s="1">
        <v>0</v>
      </c>
      <c r="T13" s="1">
        <f t="shared" si="2"/>
        <v>68.39</v>
      </c>
      <c r="U13" s="1">
        <f t="shared" si="3"/>
        <v>909.15200000000038</v>
      </c>
    </row>
    <row r="14" spans="1:21" s="7" customFormat="1" ht="38.25" customHeight="1">
      <c r="A14" s="36">
        <v>7</v>
      </c>
      <c r="B14" s="38" t="s">
        <v>20</v>
      </c>
      <c r="C14" s="1">
        <v>1216.4399999999994</v>
      </c>
      <c r="D14" s="1">
        <v>0</v>
      </c>
      <c r="E14" s="1">
        <v>0.15</v>
      </c>
      <c r="F14" s="1">
        <v>0</v>
      </c>
      <c r="G14" s="1">
        <v>0</v>
      </c>
      <c r="H14" s="1">
        <f t="shared" si="0"/>
        <v>1216.4399999999994</v>
      </c>
      <c r="I14" s="1">
        <v>861.25800000000027</v>
      </c>
      <c r="J14" s="31">
        <v>3.53</v>
      </c>
      <c r="K14" s="1">
        <v>46.488</v>
      </c>
      <c r="L14" s="1">
        <v>0</v>
      </c>
      <c r="M14" s="1">
        <v>0</v>
      </c>
      <c r="N14" s="1">
        <f t="shared" si="1"/>
        <v>864.78800000000024</v>
      </c>
      <c r="O14" s="1">
        <v>61.329999999999991</v>
      </c>
      <c r="P14" s="1">
        <v>0</v>
      </c>
      <c r="Q14" s="1">
        <v>0</v>
      </c>
      <c r="R14" s="1">
        <v>0</v>
      </c>
      <c r="S14" s="1">
        <v>0</v>
      </c>
      <c r="T14" s="1">
        <f t="shared" si="2"/>
        <v>61.329999999999991</v>
      </c>
      <c r="U14" s="1">
        <f t="shared" si="3"/>
        <v>2142.5579999999995</v>
      </c>
    </row>
    <row r="15" spans="1:21" s="7" customFormat="1" ht="38.25" customHeight="1">
      <c r="A15" s="35"/>
      <c r="B15" s="37" t="s">
        <v>21</v>
      </c>
      <c r="C15" s="2">
        <f>SUM(C12:C14)</f>
        <v>1883.9799999999991</v>
      </c>
      <c r="D15" s="2">
        <f t="shared" ref="D15:U15" si="5">SUM(D12:D14)</f>
        <v>0</v>
      </c>
      <c r="E15" s="2">
        <f t="shared" si="5"/>
        <v>1</v>
      </c>
      <c r="F15" s="2">
        <f t="shared" si="5"/>
        <v>0</v>
      </c>
      <c r="G15" s="2">
        <f t="shared" si="5"/>
        <v>81.02</v>
      </c>
      <c r="H15" s="2">
        <f t="shared" si="5"/>
        <v>1883.9799999999991</v>
      </c>
      <c r="I15" s="2">
        <f t="shared" si="5"/>
        <v>2192.8050000000003</v>
      </c>
      <c r="J15" s="2">
        <f t="shared" si="5"/>
        <v>5.22</v>
      </c>
      <c r="K15" s="2">
        <f t="shared" si="5"/>
        <v>126.685</v>
      </c>
      <c r="L15" s="2">
        <f t="shared" si="5"/>
        <v>0</v>
      </c>
      <c r="M15" s="2">
        <f t="shared" si="5"/>
        <v>0</v>
      </c>
      <c r="N15" s="2">
        <f t="shared" si="5"/>
        <v>2198.0250000000005</v>
      </c>
      <c r="O15" s="2">
        <f t="shared" si="5"/>
        <v>166.57</v>
      </c>
      <c r="P15" s="2">
        <f t="shared" si="5"/>
        <v>0</v>
      </c>
      <c r="Q15" s="2">
        <f t="shared" si="5"/>
        <v>0</v>
      </c>
      <c r="R15" s="2">
        <f t="shared" si="5"/>
        <v>0</v>
      </c>
      <c r="S15" s="2">
        <f t="shared" si="5"/>
        <v>0</v>
      </c>
      <c r="T15" s="2">
        <f t="shared" si="5"/>
        <v>166.57</v>
      </c>
      <c r="U15" s="2">
        <f t="shared" si="5"/>
        <v>4248.5749999999989</v>
      </c>
    </row>
    <row r="16" spans="1:21" s="16" customFormat="1" ht="38.25" customHeight="1">
      <c r="A16" s="36">
        <v>8</v>
      </c>
      <c r="B16" s="38" t="s">
        <v>22</v>
      </c>
      <c r="C16" s="1">
        <v>1011.6640000000004</v>
      </c>
      <c r="D16" s="1">
        <v>0.14000000000000001</v>
      </c>
      <c r="E16" s="1">
        <v>2.52</v>
      </c>
      <c r="F16" s="1">
        <v>17.96</v>
      </c>
      <c r="G16" s="1">
        <v>75.319999999999993</v>
      </c>
      <c r="H16" s="1">
        <f t="shared" si="0"/>
        <v>993.84400000000039</v>
      </c>
      <c r="I16" s="1">
        <v>292.166</v>
      </c>
      <c r="J16" s="1">
        <v>6.88</v>
      </c>
      <c r="K16" s="1">
        <v>172.36500000000001</v>
      </c>
      <c r="L16" s="1">
        <v>0</v>
      </c>
      <c r="M16" s="1">
        <v>0</v>
      </c>
      <c r="N16" s="1">
        <f t="shared" si="1"/>
        <v>299.04599999999999</v>
      </c>
      <c r="O16" s="1">
        <v>177.31200000000004</v>
      </c>
      <c r="P16" s="1">
        <v>0.1</v>
      </c>
      <c r="Q16" s="1">
        <v>0.15000000000000002</v>
      </c>
      <c r="R16" s="1">
        <v>0</v>
      </c>
      <c r="S16" s="1">
        <v>0</v>
      </c>
      <c r="T16" s="1">
        <f t="shared" si="2"/>
        <v>177.41200000000003</v>
      </c>
      <c r="U16" s="1">
        <f t="shared" si="3"/>
        <v>1470.3020000000004</v>
      </c>
    </row>
    <row r="17" spans="1:21" ht="61.5" customHeight="1">
      <c r="A17" s="17">
        <v>9</v>
      </c>
      <c r="B17" s="26" t="s">
        <v>23</v>
      </c>
      <c r="C17" s="1">
        <v>6.415999999999948</v>
      </c>
      <c r="D17" s="1">
        <v>0</v>
      </c>
      <c r="E17" s="1">
        <v>3.51</v>
      </c>
      <c r="F17" s="1">
        <v>0</v>
      </c>
      <c r="G17" s="1">
        <v>120.22999999999999</v>
      </c>
      <c r="H17" s="1">
        <f t="shared" si="0"/>
        <v>6.415999999999948</v>
      </c>
      <c r="I17" s="1">
        <v>506.31000000000017</v>
      </c>
      <c r="J17" s="1">
        <v>5.4399999999999995</v>
      </c>
      <c r="K17" s="1">
        <v>163.72</v>
      </c>
      <c r="L17" s="1">
        <v>0</v>
      </c>
      <c r="M17" s="1">
        <v>0</v>
      </c>
      <c r="N17" s="1">
        <f t="shared" si="1"/>
        <v>511.75000000000017</v>
      </c>
      <c r="O17" s="1">
        <v>6.33</v>
      </c>
      <c r="P17" s="1">
        <v>0</v>
      </c>
      <c r="Q17" s="1">
        <v>0.03</v>
      </c>
      <c r="R17" s="1">
        <v>0</v>
      </c>
      <c r="S17" s="1">
        <v>1.665</v>
      </c>
      <c r="T17" s="1">
        <f t="shared" si="2"/>
        <v>6.33</v>
      </c>
      <c r="U17" s="1">
        <f t="shared" si="3"/>
        <v>524.49600000000021</v>
      </c>
    </row>
    <row r="18" spans="1:21" s="7" customFormat="1" ht="38.25" customHeight="1">
      <c r="A18" s="36">
        <v>10</v>
      </c>
      <c r="B18" s="38" t="s">
        <v>24</v>
      </c>
      <c r="C18" s="1">
        <v>75.986000000000104</v>
      </c>
      <c r="D18" s="1">
        <v>0</v>
      </c>
      <c r="E18" s="1">
        <v>0.29000000000000004</v>
      </c>
      <c r="F18" s="1">
        <v>0</v>
      </c>
      <c r="G18" s="1">
        <v>59.79</v>
      </c>
      <c r="H18" s="1">
        <f t="shared" si="0"/>
        <v>75.986000000000104</v>
      </c>
      <c r="I18" s="1">
        <v>485.05699999999996</v>
      </c>
      <c r="J18" s="1">
        <v>0.48</v>
      </c>
      <c r="K18" s="1">
        <v>142.99999999999997</v>
      </c>
      <c r="L18" s="1">
        <v>0</v>
      </c>
      <c r="M18" s="1">
        <v>0</v>
      </c>
      <c r="N18" s="1">
        <f t="shared" si="1"/>
        <v>485.53699999999998</v>
      </c>
      <c r="O18" s="1">
        <v>38.869999999999997</v>
      </c>
      <c r="P18" s="1">
        <v>0</v>
      </c>
      <c r="Q18" s="1">
        <v>0</v>
      </c>
      <c r="R18" s="1">
        <v>0</v>
      </c>
      <c r="S18" s="1">
        <v>0</v>
      </c>
      <c r="T18" s="1">
        <f t="shared" si="2"/>
        <v>38.869999999999997</v>
      </c>
      <c r="U18" s="1">
        <f t="shared" si="3"/>
        <v>600.39300000000014</v>
      </c>
    </row>
    <row r="19" spans="1:21" s="7" customFormat="1" ht="38.25" customHeight="1">
      <c r="A19" s="35"/>
      <c r="B19" s="37" t="s">
        <v>25</v>
      </c>
      <c r="C19" s="2">
        <f>SUM(C16:C18)</f>
        <v>1094.0660000000005</v>
      </c>
      <c r="D19" s="2">
        <f t="shared" ref="D19:U19" si="6">SUM(D16:D18)</f>
        <v>0.14000000000000001</v>
      </c>
      <c r="E19" s="2">
        <f t="shared" si="6"/>
        <v>6.3199999999999994</v>
      </c>
      <c r="F19" s="2">
        <f t="shared" si="6"/>
        <v>17.96</v>
      </c>
      <c r="G19" s="2">
        <f t="shared" si="6"/>
        <v>255.33999999999997</v>
      </c>
      <c r="H19" s="2">
        <f t="shared" si="6"/>
        <v>1076.2460000000005</v>
      </c>
      <c r="I19" s="2">
        <f t="shared" si="6"/>
        <v>1283.5330000000001</v>
      </c>
      <c r="J19" s="2">
        <f t="shared" si="6"/>
        <v>12.8</v>
      </c>
      <c r="K19" s="2">
        <f t="shared" si="6"/>
        <v>479.08500000000004</v>
      </c>
      <c r="L19" s="2">
        <f t="shared" si="6"/>
        <v>0</v>
      </c>
      <c r="M19" s="2">
        <f t="shared" si="6"/>
        <v>0</v>
      </c>
      <c r="N19" s="2">
        <f t="shared" si="6"/>
        <v>1296.3330000000001</v>
      </c>
      <c r="O19" s="2">
        <f t="shared" si="6"/>
        <v>222.51200000000006</v>
      </c>
      <c r="P19" s="2">
        <f t="shared" si="6"/>
        <v>0.1</v>
      </c>
      <c r="Q19" s="2">
        <f t="shared" si="6"/>
        <v>0.18000000000000002</v>
      </c>
      <c r="R19" s="2">
        <f t="shared" si="6"/>
        <v>0</v>
      </c>
      <c r="S19" s="2">
        <f t="shared" si="6"/>
        <v>1.665</v>
      </c>
      <c r="T19" s="2">
        <f t="shared" si="6"/>
        <v>222.61200000000005</v>
      </c>
      <c r="U19" s="2">
        <f t="shared" si="6"/>
        <v>2595.1910000000007</v>
      </c>
    </row>
    <row r="20" spans="1:21" ht="38.25" customHeight="1">
      <c r="A20" s="36">
        <v>11</v>
      </c>
      <c r="B20" s="38" t="s">
        <v>26</v>
      </c>
      <c r="C20" s="1">
        <v>630.56999999999994</v>
      </c>
      <c r="D20" s="1">
        <v>0</v>
      </c>
      <c r="E20" s="1">
        <v>3.3000000000000003</v>
      </c>
      <c r="F20" s="1">
        <v>0</v>
      </c>
      <c r="G20" s="1">
        <v>0.43</v>
      </c>
      <c r="H20" s="1">
        <f t="shared" si="0"/>
        <v>630.56999999999994</v>
      </c>
      <c r="I20" s="1">
        <v>398.46800000000013</v>
      </c>
      <c r="J20" s="1">
        <v>0.72</v>
      </c>
      <c r="K20" s="1">
        <v>16.468</v>
      </c>
      <c r="L20" s="1">
        <v>0</v>
      </c>
      <c r="M20" s="1">
        <v>0</v>
      </c>
      <c r="N20" s="1">
        <f t="shared" si="1"/>
        <v>399.18800000000016</v>
      </c>
      <c r="O20" s="1">
        <v>40.350000000000009</v>
      </c>
      <c r="P20" s="1">
        <v>0</v>
      </c>
      <c r="Q20" s="1">
        <v>0.15</v>
      </c>
      <c r="R20" s="1">
        <v>0</v>
      </c>
      <c r="S20" s="1">
        <v>0.04</v>
      </c>
      <c r="T20" s="1">
        <f t="shared" si="2"/>
        <v>40.350000000000009</v>
      </c>
      <c r="U20" s="1">
        <f t="shared" si="3"/>
        <v>1070.1079999999999</v>
      </c>
    </row>
    <row r="21" spans="1:21" ht="38.25" customHeight="1">
      <c r="A21" s="36">
        <v>12</v>
      </c>
      <c r="B21" s="38" t="s">
        <v>27</v>
      </c>
      <c r="C21" s="1">
        <v>22.51</v>
      </c>
      <c r="D21" s="1">
        <v>0</v>
      </c>
      <c r="E21" s="1">
        <v>0</v>
      </c>
      <c r="F21" s="1">
        <v>0</v>
      </c>
      <c r="G21" s="1">
        <v>8.36</v>
      </c>
      <c r="H21" s="1">
        <f t="shared" si="0"/>
        <v>22.51</v>
      </c>
      <c r="I21" s="1">
        <v>397.18699999999995</v>
      </c>
      <c r="J21" s="1">
        <v>0.93</v>
      </c>
      <c r="K21" s="1">
        <v>29.424000000000007</v>
      </c>
      <c r="L21" s="1">
        <v>0</v>
      </c>
      <c r="M21" s="1">
        <v>0</v>
      </c>
      <c r="N21" s="1">
        <f t="shared" si="1"/>
        <v>398.11699999999996</v>
      </c>
      <c r="O21" s="1">
        <v>19.369999999999997</v>
      </c>
      <c r="P21" s="1">
        <v>0</v>
      </c>
      <c r="Q21" s="1">
        <v>0</v>
      </c>
      <c r="R21" s="1">
        <v>0</v>
      </c>
      <c r="S21" s="1">
        <v>0.19</v>
      </c>
      <c r="T21" s="1">
        <f t="shared" si="2"/>
        <v>19.369999999999997</v>
      </c>
      <c r="U21" s="1">
        <f t="shared" si="3"/>
        <v>439.99699999999996</v>
      </c>
    </row>
    <row r="22" spans="1:21" s="7" customFormat="1" ht="38.25" customHeight="1">
      <c r="A22" s="36">
        <v>13</v>
      </c>
      <c r="B22" s="38" t="s">
        <v>28</v>
      </c>
      <c r="C22" s="1">
        <v>120.44000000000001</v>
      </c>
      <c r="D22" s="1">
        <v>1.04</v>
      </c>
      <c r="E22" s="1">
        <v>5.22</v>
      </c>
      <c r="F22" s="1">
        <v>99.05</v>
      </c>
      <c r="G22" s="1">
        <v>163.51</v>
      </c>
      <c r="H22" s="1">
        <f t="shared" si="0"/>
        <v>22.430000000000021</v>
      </c>
      <c r="I22" s="1">
        <v>452.16000000000008</v>
      </c>
      <c r="J22" s="1">
        <v>236.81</v>
      </c>
      <c r="K22" s="1">
        <v>347.44499999999999</v>
      </c>
      <c r="L22" s="1">
        <v>0</v>
      </c>
      <c r="M22" s="1">
        <v>19.510000000000002</v>
      </c>
      <c r="N22" s="1">
        <f t="shared" si="1"/>
        <v>688.97</v>
      </c>
      <c r="O22" s="1">
        <v>4.370000000000001</v>
      </c>
      <c r="P22" s="1">
        <v>0</v>
      </c>
      <c r="Q22" s="1">
        <v>0</v>
      </c>
      <c r="R22" s="1">
        <v>3.77</v>
      </c>
      <c r="S22" s="1">
        <v>16.52</v>
      </c>
      <c r="T22" s="1">
        <f t="shared" si="2"/>
        <v>0.60000000000000098</v>
      </c>
      <c r="U22" s="1">
        <f t="shared" si="3"/>
        <v>712.00000000000011</v>
      </c>
    </row>
    <row r="23" spans="1:21" s="7" customFormat="1" ht="38.25" customHeight="1">
      <c r="A23" s="36">
        <v>14</v>
      </c>
      <c r="B23" s="38" t="s">
        <v>29</v>
      </c>
      <c r="C23" s="1">
        <v>427.24</v>
      </c>
      <c r="D23" s="1">
        <v>0</v>
      </c>
      <c r="E23" s="1">
        <v>8.35</v>
      </c>
      <c r="F23" s="1">
        <v>0</v>
      </c>
      <c r="G23" s="1">
        <v>3.4</v>
      </c>
      <c r="H23" s="1">
        <f t="shared" si="0"/>
        <v>427.24</v>
      </c>
      <c r="I23" s="1">
        <v>88.295000000000002</v>
      </c>
      <c r="J23" s="1">
        <v>13.59</v>
      </c>
      <c r="K23" s="1">
        <v>25.085000000000001</v>
      </c>
      <c r="L23" s="1">
        <v>0</v>
      </c>
      <c r="M23" s="1">
        <v>0</v>
      </c>
      <c r="N23" s="1">
        <f t="shared" si="1"/>
        <v>101.88500000000001</v>
      </c>
      <c r="O23" s="1">
        <v>22.5</v>
      </c>
      <c r="P23" s="1">
        <v>0</v>
      </c>
      <c r="Q23" s="1">
        <v>0</v>
      </c>
      <c r="R23" s="1">
        <v>0</v>
      </c>
      <c r="S23" s="1">
        <v>3.26</v>
      </c>
      <c r="T23" s="1">
        <f t="shared" si="2"/>
        <v>22.5</v>
      </c>
      <c r="U23" s="1">
        <f t="shared" si="3"/>
        <v>551.625</v>
      </c>
    </row>
    <row r="24" spans="1:21" s="7" customFormat="1" ht="38.25" customHeight="1">
      <c r="A24" s="35"/>
      <c r="B24" s="37" t="s">
        <v>30</v>
      </c>
      <c r="C24" s="2">
        <f>SUM(C20:C23)</f>
        <v>1200.76</v>
      </c>
      <c r="D24" s="2">
        <f t="shared" ref="D24:U24" si="7">SUM(D20:D23)</f>
        <v>1.04</v>
      </c>
      <c r="E24" s="2">
        <f t="shared" si="7"/>
        <v>16.869999999999997</v>
      </c>
      <c r="F24" s="2">
        <f t="shared" si="7"/>
        <v>99.05</v>
      </c>
      <c r="G24" s="2">
        <f t="shared" si="7"/>
        <v>175.7</v>
      </c>
      <c r="H24" s="2">
        <f t="shared" si="7"/>
        <v>1102.75</v>
      </c>
      <c r="I24" s="2">
        <f t="shared" si="7"/>
        <v>1336.1100000000001</v>
      </c>
      <c r="J24" s="2">
        <f t="shared" si="7"/>
        <v>252.05</v>
      </c>
      <c r="K24" s="2">
        <f t="shared" si="7"/>
        <v>418.42199999999997</v>
      </c>
      <c r="L24" s="2">
        <f t="shared" si="7"/>
        <v>0</v>
      </c>
      <c r="M24" s="2">
        <f t="shared" si="7"/>
        <v>19.510000000000002</v>
      </c>
      <c r="N24" s="2">
        <f t="shared" si="7"/>
        <v>1588.16</v>
      </c>
      <c r="O24" s="2">
        <f t="shared" si="7"/>
        <v>86.59</v>
      </c>
      <c r="P24" s="2">
        <f t="shared" si="7"/>
        <v>0</v>
      </c>
      <c r="Q24" s="2">
        <f t="shared" si="7"/>
        <v>0.15</v>
      </c>
      <c r="R24" s="2">
        <f t="shared" si="7"/>
        <v>3.77</v>
      </c>
      <c r="S24" s="2">
        <f t="shared" si="7"/>
        <v>20.009999999999998</v>
      </c>
      <c r="T24" s="2">
        <f t="shared" si="7"/>
        <v>82.820000000000007</v>
      </c>
      <c r="U24" s="2">
        <f t="shared" si="7"/>
        <v>2773.73</v>
      </c>
    </row>
    <row r="25" spans="1:21" s="7" customFormat="1" ht="38.25" customHeight="1">
      <c r="A25" s="35"/>
      <c r="B25" s="37" t="s">
        <v>31</v>
      </c>
      <c r="C25" s="2">
        <f>C24+C19+C15+C11</f>
        <v>4842.8159999999998</v>
      </c>
      <c r="D25" s="2">
        <f t="shared" ref="D25:U25" si="8">D24+D19+D15+D11</f>
        <v>1.1800000000000002</v>
      </c>
      <c r="E25" s="2">
        <f t="shared" si="8"/>
        <v>24.189999999999998</v>
      </c>
      <c r="F25" s="2">
        <f t="shared" si="8"/>
        <v>216.43</v>
      </c>
      <c r="G25" s="2">
        <f t="shared" si="8"/>
        <v>620.43799999999999</v>
      </c>
      <c r="H25" s="2">
        <f t="shared" si="8"/>
        <v>4627.5659999999998</v>
      </c>
      <c r="I25" s="2">
        <f t="shared" si="8"/>
        <v>6569.2340000000004</v>
      </c>
      <c r="J25" s="2">
        <f t="shared" si="8"/>
        <v>452.88400000000001</v>
      </c>
      <c r="K25" s="2">
        <f t="shared" si="8"/>
        <v>1317.934</v>
      </c>
      <c r="L25" s="2">
        <f t="shared" si="8"/>
        <v>0</v>
      </c>
      <c r="M25" s="2">
        <f t="shared" si="8"/>
        <v>19.510000000000002</v>
      </c>
      <c r="N25" s="2">
        <f t="shared" si="8"/>
        <v>7022.1180000000004</v>
      </c>
      <c r="O25" s="2">
        <f t="shared" si="8"/>
        <v>605.29200000000014</v>
      </c>
      <c r="P25" s="2">
        <f t="shared" si="8"/>
        <v>0.1</v>
      </c>
      <c r="Q25" s="2">
        <f t="shared" si="8"/>
        <v>6.3900000000000006</v>
      </c>
      <c r="R25" s="2">
        <f t="shared" si="8"/>
        <v>12.714</v>
      </c>
      <c r="S25" s="2">
        <f t="shared" si="8"/>
        <v>32.498999999999995</v>
      </c>
      <c r="T25" s="2">
        <f t="shared" si="8"/>
        <v>592.67800000000011</v>
      </c>
      <c r="U25" s="2">
        <f t="shared" si="8"/>
        <v>12242.361999999999</v>
      </c>
    </row>
    <row r="26" spans="1:21" ht="38.25" customHeight="1">
      <c r="A26" s="36">
        <v>15</v>
      </c>
      <c r="B26" s="38" t="s">
        <v>32</v>
      </c>
      <c r="C26" s="1">
        <v>1550.1299999999999</v>
      </c>
      <c r="D26" s="1">
        <v>2.85</v>
      </c>
      <c r="E26" s="1">
        <v>102.45</v>
      </c>
      <c r="F26" s="1">
        <v>0</v>
      </c>
      <c r="G26" s="1">
        <v>0</v>
      </c>
      <c r="H26" s="1">
        <f t="shared" si="0"/>
        <v>1552.9799999999998</v>
      </c>
      <c r="I26" s="1">
        <v>66.17</v>
      </c>
      <c r="J26" s="1">
        <v>1.1600000000000001</v>
      </c>
      <c r="K26" s="1">
        <v>8.2799999999999994</v>
      </c>
      <c r="L26" s="1">
        <v>0</v>
      </c>
      <c r="M26" s="1">
        <v>0</v>
      </c>
      <c r="N26" s="1">
        <f t="shared" si="1"/>
        <v>67.33</v>
      </c>
      <c r="O26" s="1">
        <v>16.11</v>
      </c>
      <c r="P26" s="1">
        <v>0</v>
      </c>
      <c r="Q26" s="1">
        <v>2.62</v>
      </c>
      <c r="R26" s="1">
        <v>0</v>
      </c>
      <c r="S26" s="1">
        <v>0</v>
      </c>
      <c r="T26" s="1">
        <f t="shared" si="2"/>
        <v>16.11</v>
      </c>
      <c r="U26" s="1">
        <f t="shared" si="3"/>
        <v>1636.4199999999996</v>
      </c>
    </row>
    <row r="27" spans="1:21" s="7" customFormat="1" ht="38.25" customHeight="1">
      <c r="A27" s="36">
        <v>16</v>
      </c>
      <c r="B27" s="38" t="s">
        <v>33</v>
      </c>
      <c r="C27" s="1">
        <v>5568.6850000000013</v>
      </c>
      <c r="D27" s="1">
        <v>8.02</v>
      </c>
      <c r="E27" s="1">
        <v>122.56500000000001</v>
      </c>
      <c r="F27" s="1">
        <v>0</v>
      </c>
      <c r="G27" s="1">
        <v>0</v>
      </c>
      <c r="H27" s="1">
        <f t="shared" si="0"/>
        <v>5576.7050000000017</v>
      </c>
      <c r="I27" s="1">
        <v>585.73799999999994</v>
      </c>
      <c r="J27" s="1">
        <v>8.4499999999999993</v>
      </c>
      <c r="K27" s="1">
        <v>38.19</v>
      </c>
      <c r="L27" s="1">
        <v>0</v>
      </c>
      <c r="M27" s="1">
        <v>0</v>
      </c>
      <c r="N27" s="1">
        <f t="shared" si="1"/>
        <v>594.18799999999999</v>
      </c>
      <c r="O27" s="1">
        <v>33.49</v>
      </c>
      <c r="P27" s="1">
        <v>0</v>
      </c>
      <c r="Q27" s="1">
        <v>0</v>
      </c>
      <c r="R27" s="1">
        <v>0</v>
      </c>
      <c r="S27" s="1">
        <v>0</v>
      </c>
      <c r="T27" s="1">
        <f t="shared" si="2"/>
        <v>33.49</v>
      </c>
      <c r="U27" s="1">
        <f t="shared" si="3"/>
        <v>6204.3830000000016</v>
      </c>
    </row>
    <row r="28" spans="1:21" s="7" customFormat="1" ht="38.25" customHeight="1">
      <c r="A28" s="35"/>
      <c r="B28" s="37" t="s">
        <v>34</v>
      </c>
      <c r="C28" s="2">
        <f>SUM(C26:C27)</f>
        <v>7118.8150000000014</v>
      </c>
      <c r="D28" s="2">
        <f t="shared" ref="D28:U28" si="9">SUM(D26:D27)</f>
        <v>10.87</v>
      </c>
      <c r="E28" s="2">
        <f t="shared" si="9"/>
        <v>225.01500000000001</v>
      </c>
      <c r="F28" s="2">
        <f t="shared" si="9"/>
        <v>0</v>
      </c>
      <c r="G28" s="2">
        <f t="shared" si="9"/>
        <v>0</v>
      </c>
      <c r="H28" s="2">
        <f t="shared" si="9"/>
        <v>7129.6850000000013</v>
      </c>
      <c r="I28" s="2">
        <f t="shared" si="9"/>
        <v>651.9079999999999</v>
      </c>
      <c r="J28" s="2">
        <f t="shared" si="9"/>
        <v>9.61</v>
      </c>
      <c r="K28" s="2">
        <f t="shared" si="9"/>
        <v>46.47</v>
      </c>
      <c r="L28" s="2">
        <f t="shared" si="9"/>
        <v>0</v>
      </c>
      <c r="M28" s="2">
        <f t="shared" si="9"/>
        <v>0</v>
      </c>
      <c r="N28" s="2">
        <f t="shared" si="9"/>
        <v>661.51800000000003</v>
      </c>
      <c r="O28" s="2">
        <f t="shared" si="9"/>
        <v>49.6</v>
      </c>
      <c r="P28" s="2">
        <f t="shared" si="9"/>
        <v>0</v>
      </c>
      <c r="Q28" s="2">
        <f t="shared" si="9"/>
        <v>2.62</v>
      </c>
      <c r="R28" s="2">
        <f t="shared" si="9"/>
        <v>0</v>
      </c>
      <c r="S28" s="2">
        <f t="shared" si="9"/>
        <v>0</v>
      </c>
      <c r="T28" s="2">
        <f t="shared" si="9"/>
        <v>49.6</v>
      </c>
      <c r="U28" s="2">
        <f t="shared" si="9"/>
        <v>7840.8030000000017</v>
      </c>
    </row>
    <row r="29" spans="1:21" ht="38.25" customHeight="1">
      <c r="A29" s="36">
        <v>17</v>
      </c>
      <c r="B29" s="38" t="s">
        <v>35</v>
      </c>
      <c r="C29" s="1">
        <v>4452.1580000000013</v>
      </c>
      <c r="D29" s="1">
        <v>2.31</v>
      </c>
      <c r="E29" s="1">
        <v>43.261000000000017</v>
      </c>
      <c r="F29" s="1">
        <v>0</v>
      </c>
      <c r="G29" s="1">
        <v>0</v>
      </c>
      <c r="H29" s="1">
        <f t="shared" si="0"/>
        <v>4454.4680000000017</v>
      </c>
      <c r="I29" s="1">
        <v>143.92000000000002</v>
      </c>
      <c r="J29" s="1">
        <v>7.8900000000000006</v>
      </c>
      <c r="K29" s="1">
        <v>55.150000000000006</v>
      </c>
      <c r="L29" s="1">
        <v>0</v>
      </c>
      <c r="M29" s="1">
        <v>0</v>
      </c>
      <c r="N29" s="1">
        <f t="shared" si="1"/>
        <v>151.81</v>
      </c>
      <c r="O29" s="1">
        <v>57.720000000000006</v>
      </c>
      <c r="P29" s="1">
        <v>0</v>
      </c>
      <c r="Q29" s="1">
        <v>0</v>
      </c>
      <c r="R29" s="1">
        <v>0</v>
      </c>
      <c r="S29" s="1">
        <v>0</v>
      </c>
      <c r="T29" s="1">
        <f t="shared" si="2"/>
        <v>57.720000000000006</v>
      </c>
      <c r="U29" s="1">
        <f t="shared" si="3"/>
        <v>4663.9980000000023</v>
      </c>
    </row>
    <row r="30" spans="1:21" ht="54.75" customHeight="1">
      <c r="A30" s="36">
        <v>18</v>
      </c>
      <c r="B30" s="38" t="s">
        <v>36</v>
      </c>
      <c r="C30" s="1">
        <v>3567.74</v>
      </c>
      <c r="D30" s="1">
        <v>7.63</v>
      </c>
      <c r="E30" s="1">
        <v>116.79899999999999</v>
      </c>
      <c r="F30" s="1">
        <v>0</v>
      </c>
      <c r="G30" s="1">
        <v>0</v>
      </c>
      <c r="H30" s="1">
        <f t="shared" si="0"/>
        <v>3575.37</v>
      </c>
      <c r="I30" s="1">
        <v>36.697000000000003</v>
      </c>
      <c r="J30" s="1">
        <v>5</v>
      </c>
      <c r="K30" s="1">
        <v>20.2</v>
      </c>
      <c r="L30" s="1">
        <v>0</v>
      </c>
      <c r="M30" s="1">
        <v>0</v>
      </c>
      <c r="N30" s="1">
        <f t="shared" si="1"/>
        <v>41.697000000000003</v>
      </c>
      <c r="O30" s="1">
        <v>23.25</v>
      </c>
      <c r="P30" s="1">
        <v>0</v>
      </c>
      <c r="Q30" s="1">
        <v>0</v>
      </c>
      <c r="R30" s="1">
        <v>0</v>
      </c>
      <c r="S30" s="1">
        <v>0</v>
      </c>
      <c r="T30" s="1">
        <f t="shared" si="2"/>
        <v>23.25</v>
      </c>
      <c r="U30" s="1">
        <f t="shared" si="3"/>
        <v>3640.317</v>
      </c>
    </row>
    <row r="31" spans="1:21" s="7" customFormat="1" ht="44.25" customHeight="1">
      <c r="A31" s="36">
        <v>19</v>
      </c>
      <c r="B31" s="38" t="s">
        <v>37</v>
      </c>
      <c r="C31" s="1">
        <v>4589.4290000000001</v>
      </c>
      <c r="D31" s="1">
        <v>0.56999999999999995</v>
      </c>
      <c r="E31" s="1">
        <v>113.09799999999998</v>
      </c>
      <c r="F31" s="1">
        <v>0</v>
      </c>
      <c r="G31" s="1">
        <v>0</v>
      </c>
      <c r="H31" s="1">
        <f t="shared" si="0"/>
        <v>4589.9989999999998</v>
      </c>
      <c r="I31" s="1">
        <v>86.710000000000022</v>
      </c>
      <c r="J31" s="1">
        <v>0</v>
      </c>
      <c r="K31" s="1">
        <v>0.28000000000000003</v>
      </c>
      <c r="L31" s="1">
        <v>0</v>
      </c>
      <c r="M31" s="1">
        <v>0</v>
      </c>
      <c r="N31" s="1">
        <f t="shared" si="1"/>
        <v>86.710000000000022</v>
      </c>
      <c r="O31" s="1">
        <v>14.850000000000001</v>
      </c>
      <c r="P31" s="1">
        <v>0</v>
      </c>
      <c r="Q31" s="1">
        <v>0</v>
      </c>
      <c r="R31" s="1">
        <v>0</v>
      </c>
      <c r="S31" s="1">
        <v>0</v>
      </c>
      <c r="T31" s="1">
        <f t="shared" si="2"/>
        <v>14.850000000000001</v>
      </c>
      <c r="U31" s="1">
        <f t="shared" si="3"/>
        <v>4691.5590000000002</v>
      </c>
    </row>
    <row r="32" spans="1:21" ht="70.5" customHeight="1">
      <c r="A32" s="36">
        <v>20</v>
      </c>
      <c r="B32" s="38" t="s">
        <v>38</v>
      </c>
      <c r="C32" s="1">
        <v>2333.1557999999995</v>
      </c>
      <c r="D32" s="1">
        <v>9.6999999999999993</v>
      </c>
      <c r="E32" s="1">
        <v>47.02000000000001</v>
      </c>
      <c r="F32" s="1">
        <v>0</v>
      </c>
      <c r="G32" s="1">
        <v>0</v>
      </c>
      <c r="H32" s="1">
        <f t="shared" si="0"/>
        <v>2342.8557999999994</v>
      </c>
      <c r="I32" s="1">
        <v>380.57599999999996</v>
      </c>
      <c r="J32" s="1">
        <v>11.26</v>
      </c>
      <c r="K32" s="1">
        <v>48.974999999999994</v>
      </c>
      <c r="L32" s="1">
        <v>0</v>
      </c>
      <c r="M32" s="1">
        <v>0</v>
      </c>
      <c r="N32" s="1">
        <f t="shared" si="1"/>
        <v>391.83599999999996</v>
      </c>
      <c r="O32" s="1">
        <v>67.551999999999992</v>
      </c>
      <c r="P32" s="1">
        <v>0</v>
      </c>
      <c r="Q32" s="1">
        <v>7.0000000000000001E-3</v>
      </c>
      <c r="R32" s="1">
        <v>0</v>
      </c>
      <c r="S32" s="1">
        <v>0</v>
      </c>
      <c r="T32" s="1">
        <f t="shared" si="2"/>
        <v>67.551999999999992</v>
      </c>
      <c r="U32" s="1">
        <f t="shared" si="3"/>
        <v>2802.2437999999993</v>
      </c>
    </row>
    <row r="33" spans="1:23" s="7" customFormat="1" ht="38.25" customHeight="1">
      <c r="A33" s="35"/>
      <c r="B33" s="37" t="s">
        <v>65</v>
      </c>
      <c r="C33" s="2">
        <f>SUM(C29:C32)</f>
        <v>14942.482800000002</v>
      </c>
      <c r="D33" s="2">
        <f t="shared" ref="D33:U33" si="10">SUM(D29:D32)</f>
        <v>20.21</v>
      </c>
      <c r="E33" s="2">
        <f t="shared" si="10"/>
        <v>320.178</v>
      </c>
      <c r="F33" s="2">
        <f t="shared" si="10"/>
        <v>0</v>
      </c>
      <c r="G33" s="2">
        <f t="shared" si="10"/>
        <v>0</v>
      </c>
      <c r="H33" s="2">
        <f t="shared" si="10"/>
        <v>14962.692800000001</v>
      </c>
      <c r="I33" s="2">
        <f t="shared" si="10"/>
        <v>647.90300000000002</v>
      </c>
      <c r="J33" s="2">
        <f t="shared" si="10"/>
        <v>24.15</v>
      </c>
      <c r="K33" s="2">
        <f t="shared" si="10"/>
        <v>124.605</v>
      </c>
      <c r="L33" s="2">
        <f t="shared" si="10"/>
        <v>0</v>
      </c>
      <c r="M33" s="2">
        <f t="shared" si="10"/>
        <v>0</v>
      </c>
      <c r="N33" s="2">
        <f t="shared" si="10"/>
        <v>672.053</v>
      </c>
      <c r="O33" s="2">
        <f t="shared" si="10"/>
        <v>163.37199999999999</v>
      </c>
      <c r="P33" s="2">
        <f t="shared" si="10"/>
        <v>0</v>
      </c>
      <c r="Q33" s="2">
        <f t="shared" si="10"/>
        <v>7.0000000000000001E-3</v>
      </c>
      <c r="R33" s="2">
        <f t="shared" si="10"/>
        <v>0</v>
      </c>
      <c r="S33" s="2">
        <f t="shared" si="10"/>
        <v>0</v>
      </c>
      <c r="T33" s="2">
        <f t="shared" si="10"/>
        <v>163.37199999999999</v>
      </c>
      <c r="U33" s="2">
        <f t="shared" si="10"/>
        <v>15798.117800000004</v>
      </c>
    </row>
    <row r="34" spans="1:23" ht="38.25" customHeight="1">
      <c r="A34" s="36">
        <v>21</v>
      </c>
      <c r="B34" s="38" t="s">
        <v>39</v>
      </c>
      <c r="C34" s="1">
        <v>4429.59</v>
      </c>
      <c r="D34" s="1">
        <v>9.51</v>
      </c>
      <c r="E34" s="1">
        <v>66.81</v>
      </c>
      <c r="F34" s="1">
        <v>0</v>
      </c>
      <c r="G34" s="1">
        <v>0</v>
      </c>
      <c r="H34" s="1">
        <f t="shared" si="0"/>
        <v>4439.1000000000004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1"/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f t="shared" si="2"/>
        <v>0</v>
      </c>
      <c r="U34" s="1">
        <f t="shared" si="3"/>
        <v>4439.1000000000004</v>
      </c>
    </row>
    <row r="35" spans="1:23" ht="38.25" customHeight="1">
      <c r="A35" s="36">
        <v>22</v>
      </c>
      <c r="B35" s="38" t="s">
        <v>40</v>
      </c>
      <c r="C35" s="1">
        <v>6127.0099999999975</v>
      </c>
      <c r="D35" s="1">
        <v>82.57</v>
      </c>
      <c r="E35" s="1">
        <v>322.96000000000004</v>
      </c>
      <c r="F35" s="1">
        <v>0</v>
      </c>
      <c r="G35" s="1">
        <v>0</v>
      </c>
      <c r="H35" s="1">
        <f t="shared" si="0"/>
        <v>6209.5799999999972</v>
      </c>
      <c r="I35" s="1">
        <v>6.92</v>
      </c>
      <c r="J35" s="1">
        <v>0</v>
      </c>
      <c r="K35" s="1">
        <v>2.92</v>
      </c>
      <c r="L35" s="1">
        <v>0</v>
      </c>
      <c r="M35" s="1">
        <v>0</v>
      </c>
      <c r="N35" s="1">
        <f t="shared" si="1"/>
        <v>6.92</v>
      </c>
      <c r="O35" s="1">
        <v>58.420000000000009</v>
      </c>
      <c r="P35" s="1">
        <v>0</v>
      </c>
      <c r="Q35" s="1">
        <v>13.89</v>
      </c>
      <c r="R35" s="1">
        <v>0</v>
      </c>
      <c r="S35" s="1">
        <v>0</v>
      </c>
      <c r="T35" s="1">
        <f t="shared" si="2"/>
        <v>58.420000000000009</v>
      </c>
      <c r="U35" s="1">
        <f t="shared" si="3"/>
        <v>6274.9199999999973</v>
      </c>
    </row>
    <row r="36" spans="1:23" s="7" customFormat="1" ht="38.25" customHeight="1">
      <c r="A36" s="36">
        <v>23</v>
      </c>
      <c r="B36" s="38" t="s">
        <v>41</v>
      </c>
      <c r="C36" s="1">
        <v>3426.0099999999998</v>
      </c>
      <c r="D36" s="1">
        <v>25.09</v>
      </c>
      <c r="E36" s="1">
        <v>121.86</v>
      </c>
      <c r="F36" s="1">
        <v>0</v>
      </c>
      <c r="G36" s="1">
        <v>0</v>
      </c>
      <c r="H36" s="1">
        <f t="shared" si="0"/>
        <v>3451.1</v>
      </c>
      <c r="I36" s="1">
        <v>29.680000000000039</v>
      </c>
      <c r="J36" s="1">
        <v>0</v>
      </c>
      <c r="K36" s="1">
        <v>4.63</v>
      </c>
      <c r="L36" s="1">
        <v>0</v>
      </c>
      <c r="M36" s="1">
        <v>0</v>
      </c>
      <c r="N36" s="1">
        <f t="shared" si="1"/>
        <v>29.680000000000039</v>
      </c>
      <c r="O36" s="1">
        <v>12.459999999999999</v>
      </c>
      <c r="P36" s="1">
        <v>4.63</v>
      </c>
      <c r="Q36" s="1">
        <v>14.89</v>
      </c>
      <c r="R36" s="1">
        <v>0</v>
      </c>
      <c r="S36" s="1">
        <v>0</v>
      </c>
      <c r="T36" s="1">
        <f t="shared" si="2"/>
        <v>17.09</v>
      </c>
      <c r="U36" s="1">
        <f t="shared" si="3"/>
        <v>3497.87</v>
      </c>
    </row>
    <row r="37" spans="1:23" s="7" customFormat="1" ht="38.25" customHeight="1">
      <c r="A37" s="36">
        <v>24</v>
      </c>
      <c r="B37" s="38" t="s">
        <v>42</v>
      </c>
      <c r="C37" s="1">
        <v>4785.1599999999971</v>
      </c>
      <c r="D37" s="1">
        <v>2.96</v>
      </c>
      <c r="E37" s="1">
        <v>86.679999999999978</v>
      </c>
      <c r="F37" s="1">
        <v>0</v>
      </c>
      <c r="G37" s="1">
        <v>0</v>
      </c>
      <c r="H37" s="1">
        <f t="shared" si="0"/>
        <v>4788.1199999999972</v>
      </c>
      <c r="I37" s="1">
        <v>13.490000000000002</v>
      </c>
      <c r="J37" s="1">
        <v>0</v>
      </c>
      <c r="K37" s="1">
        <v>13.49</v>
      </c>
      <c r="L37" s="1">
        <v>0</v>
      </c>
      <c r="M37" s="1">
        <v>0</v>
      </c>
      <c r="N37" s="1">
        <f t="shared" si="1"/>
        <v>13.490000000000002</v>
      </c>
      <c r="O37" s="1">
        <v>3.1</v>
      </c>
      <c r="P37" s="1">
        <v>3.42</v>
      </c>
      <c r="Q37" s="1">
        <v>5.48</v>
      </c>
      <c r="R37" s="1">
        <v>0</v>
      </c>
      <c r="S37" s="1">
        <v>0</v>
      </c>
      <c r="T37" s="1">
        <f t="shared" si="2"/>
        <v>6.52</v>
      </c>
      <c r="U37" s="1">
        <f t="shared" si="3"/>
        <v>4808.1299999999974</v>
      </c>
    </row>
    <row r="38" spans="1:23" s="7" customFormat="1" ht="38.25" customHeight="1">
      <c r="A38" s="35"/>
      <c r="B38" s="37" t="s">
        <v>43</v>
      </c>
      <c r="C38" s="2">
        <f>SUM(C34:C37)</f>
        <v>18767.769999999997</v>
      </c>
      <c r="D38" s="2">
        <f t="shared" ref="D38:U38" si="11">SUM(D34:D37)</f>
        <v>120.13</v>
      </c>
      <c r="E38" s="2">
        <f t="shared" si="11"/>
        <v>598.31000000000006</v>
      </c>
      <c r="F38" s="2">
        <f t="shared" si="11"/>
        <v>0</v>
      </c>
      <c r="G38" s="2">
        <f t="shared" si="11"/>
        <v>0</v>
      </c>
      <c r="H38" s="2">
        <f t="shared" si="11"/>
        <v>18887.899999999994</v>
      </c>
      <c r="I38" s="2">
        <f t="shared" si="11"/>
        <v>50.090000000000039</v>
      </c>
      <c r="J38" s="2">
        <f t="shared" si="11"/>
        <v>0</v>
      </c>
      <c r="K38" s="2">
        <f t="shared" si="11"/>
        <v>21.04</v>
      </c>
      <c r="L38" s="2">
        <f t="shared" si="11"/>
        <v>0</v>
      </c>
      <c r="M38" s="2">
        <f t="shared" si="11"/>
        <v>0</v>
      </c>
      <c r="N38" s="2">
        <f t="shared" si="11"/>
        <v>50.090000000000039</v>
      </c>
      <c r="O38" s="2">
        <f t="shared" si="11"/>
        <v>73.98</v>
      </c>
      <c r="P38" s="2">
        <f t="shared" si="11"/>
        <v>8.0500000000000007</v>
      </c>
      <c r="Q38" s="2">
        <f t="shared" si="11"/>
        <v>34.260000000000005</v>
      </c>
      <c r="R38" s="2">
        <f t="shared" si="11"/>
        <v>0</v>
      </c>
      <c r="S38" s="2">
        <f t="shared" si="11"/>
        <v>0</v>
      </c>
      <c r="T38" s="2">
        <f t="shared" si="11"/>
        <v>82.03</v>
      </c>
      <c r="U38" s="2">
        <f t="shared" si="11"/>
        <v>19020.019999999993</v>
      </c>
    </row>
    <row r="39" spans="1:23" s="7" customFormat="1" ht="38.25" customHeight="1">
      <c r="A39" s="35"/>
      <c r="B39" s="37" t="s">
        <v>44</v>
      </c>
      <c r="C39" s="2">
        <f>C38+C33+C28</f>
        <v>40829.067800000004</v>
      </c>
      <c r="D39" s="2">
        <f t="shared" ref="D39:U39" si="12">D38+D33+D28</f>
        <v>151.21</v>
      </c>
      <c r="E39" s="2">
        <f t="shared" si="12"/>
        <v>1143.5030000000002</v>
      </c>
      <c r="F39" s="2">
        <f t="shared" si="12"/>
        <v>0</v>
      </c>
      <c r="G39" s="2">
        <f t="shared" si="12"/>
        <v>0</v>
      </c>
      <c r="H39" s="2">
        <f t="shared" si="12"/>
        <v>40980.277799999996</v>
      </c>
      <c r="I39" s="2">
        <f t="shared" si="12"/>
        <v>1349.9009999999998</v>
      </c>
      <c r="J39" s="2">
        <f t="shared" si="12"/>
        <v>33.76</v>
      </c>
      <c r="K39" s="2">
        <f t="shared" si="12"/>
        <v>192.11500000000001</v>
      </c>
      <c r="L39" s="2">
        <f t="shared" si="12"/>
        <v>0</v>
      </c>
      <c r="M39" s="2">
        <f t="shared" si="12"/>
        <v>0</v>
      </c>
      <c r="N39" s="2">
        <f t="shared" si="12"/>
        <v>1383.6610000000001</v>
      </c>
      <c r="O39" s="2">
        <f t="shared" si="12"/>
        <v>286.952</v>
      </c>
      <c r="P39" s="2">
        <f t="shared" si="12"/>
        <v>8.0500000000000007</v>
      </c>
      <c r="Q39" s="2">
        <f t="shared" si="12"/>
        <v>36.887</v>
      </c>
      <c r="R39" s="2">
        <f t="shared" si="12"/>
        <v>0</v>
      </c>
      <c r="S39" s="2">
        <f t="shared" si="12"/>
        <v>0</v>
      </c>
      <c r="T39" s="2">
        <f t="shared" si="12"/>
        <v>295.00200000000001</v>
      </c>
      <c r="U39" s="2">
        <f t="shared" si="12"/>
        <v>42658.940799999997</v>
      </c>
      <c r="V39" s="2">
        <f t="shared" ref="V39:W39" si="13">V38+V33+V28</f>
        <v>0</v>
      </c>
      <c r="W39" s="2">
        <f t="shared" si="13"/>
        <v>0</v>
      </c>
    </row>
    <row r="40" spans="1:23" ht="38.25" customHeight="1">
      <c r="A40" s="36">
        <v>25</v>
      </c>
      <c r="B40" s="38" t="s">
        <v>45</v>
      </c>
      <c r="C40" s="1">
        <v>11271.444</v>
      </c>
      <c r="D40" s="1">
        <v>119</v>
      </c>
      <c r="E40" s="1">
        <v>395.584</v>
      </c>
      <c r="F40" s="1">
        <v>0</v>
      </c>
      <c r="G40" s="1">
        <v>0</v>
      </c>
      <c r="H40" s="1">
        <f t="shared" si="0"/>
        <v>11390.444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f t="shared" si="2"/>
        <v>0</v>
      </c>
      <c r="U40" s="1">
        <f t="shared" si="3"/>
        <v>11390.444</v>
      </c>
    </row>
    <row r="41" spans="1:23" ht="38.25" customHeight="1">
      <c r="A41" s="36">
        <v>26</v>
      </c>
      <c r="B41" s="38" t="s">
        <v>46</v>
      </c>
      <c r="C41" s="1">
        <v>7452.5569999999952</v>
      </c>
      <c r="D41" s="1">
        <v>45.48</v>
      </c>
      <c r="E41" s="1">
        <v>426.351</v>
      </c>
      <c r="F41" s="1">
        <v>0</v>
      </c>
      <c r="G41" s="1">
        <v>0</v>
      </c>
      <c r="H41" s="1">
        <f t="shared" si="0"/>
        <v>7498.0369999999948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1"/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f t="shared" si="2"/>
        <v>0</v>
      </c>
      <c r="U41" s="1">
        <f t="shared" si="3"/>
        <v>7498.0369999999948</v>
      </c>
    </row>
    <row r="42" spans="1:23" s="7" customFormat="1" ht="38.25" customHeight="1">
      <c r="A42" s="36">
        <v>27</v>
      </c>
      <c r="B42" s="38" t="s">
        <v>47</v>
      </c>
      <c r="C42" s="1">
        <v>13768.408999999996</v>
      </c>
      <c r="D42" s="1">
        <v>37.03</v>
      </c>
      <c r="E42" s="1">
        <v>291.32299999999998</v>
      </c>
      <c r="F42" s="1">
        <v>0</v>
      </c>
      <c r="G42" s="1">
        <v>0</v>
      </c>
      <c r="H42" s="1">
        <f t="shared" si="0"/>
        <v>13805.438999999997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1"/>
        <v>0</v>
      </c>
      <c r="O42" s="1">
        <v>39.019999999999996</v>
      </c>
      <c r="P42" s="1">
        <v>0</v>
      </c>
      <c r="Q42" s="1">
        <v>5.67</v>
      </c>
      <c r="R42" s="1">
        <v>0</v>
      </c>
      <c r="S42" s="1">
        <v>0</v>
      </c>
      <c r="T42" s="1">
        <f t="shared" si="2"/>
        <v>39.019999999999996</v>
      </c>
      <c r="U42" s="1">
        <f t="shared" si="3"/>
        <v>13844.458999999997</v>
      </c>
    </row>
    <row r="43" spans="1:23" ht="38.25" customHeight="1">
      <c r="A43" s="36">
        <v>28</v>
      </c>
      <c r="B43" s="38" t="s">
        <v>48</v>
      </c>
      <c r="C43" s="1">
        <v>3962.5800000000013</v>
      </c>
      <c r="D43" s="1">
        <v>4.9000000000000004</v>
      </c>
      <c r="E43" s="1">
        <v>101.44199999999999</v>
      </c>
      <c r="F43" s="1">
        <v>0</v>
      </c>
      <c r="G43" s="1">
        <v>0</v>
      </c>
      <c r="H43" s="1">
        <f t="shared" si="0"/>
        <v>3967.4800000000014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1"/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f t="shared" si="2"/>
        <v>0</v>
      </c>
      <c r="U43" s="1">
        <f t="shared" si="3"/>
        <v>3967.4800000000014</v>
      </c>
    </row>
    <row r="44" spans="1:23" s="7" customFormat="1" ht="38.25" customHeight="1">
      <c r="A44" s="35"/>
      <c r="B44" s="37" t="s">
        <v>49</v>
      </c>
      <c r="C44" s="2">
        <f>SUM(C40:C43)</f>
        <v>36454.989999999991</v>
      </c>
      <c r="D44" s="2">
        <f t="shared" ref="D44:U44" si="14">SUM(D40:D43)</f>
        <v>206.41</v>
      </c>
      <c r="E44" s="2">
        <f t="shared" si="14"/>
        <v>1214.6999999999998</v>
      </c>
      <c r="F44" s="2">
        <f t="shared" si="14"/>
        <v>0</v>
      </c>
      <c r="G44" s="2">
        <f t="shared" si="14"/>
        <v>0</v>
      </c>
      <c r="H44" s="2">
        <f t="shared" si="14"/>
        <v>36661.399999999994</v>
      </c>
      <c r="I44" s="2">
        <f t="shared" si="14"/>
        <v>0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">
        <f t="shared" si="14"/>
        <v>0</v>
      </c>
      <c r="O44" s="2">
        <f t="shared" si="14"/>
        <v>39.019999999999996</v>
      </c>
      <c r="P44" s="2">
        <f t="shared" si="14"/>
        <v>0</v>
      </c>
      <c r="Q44" s="2">
        <f t="shared" si="14"/>
        <v>5.67</v>
      </c>
      <c r="R44" s="2">
        <f t="shared" si="14"/>
        <v>0</v>
      </c>
      <c r="S44" s="2">
        <f t="shared" si="14"/>
        <v>0</v>
      </c>
      <c r="T44" s="2">
        <f t="shared" si="14"/>
        <v>39.019999999999996</v>
      </c>
      <c r="U44" s="2">
        <f t="shared" si="14"/>
        <v>36700.419999999991</v>
      </c>
    </row>
    <row r="45" spans="1:23" ht="38.25" customHeight="1">
      <c r="A45" s="36">
        <v>29</v>
      </c>
      <c r="B45" s="38" t="s">
        <v>50</v>
      </c>
      <c r="C45" s="1">
        <v>8377.272100000002</v>
      </c>
      <c r="D45" s="1">
        <v>46.05</v>
      </c>
      <c r="E45" s="1">
        <v>341.34000000000003</v>
      </c>
      <c r="F45" s="1">
        <v>0</v>
      </c>
      <c r="G45" s="1">
        <v>6.46</v>
      </c>
      <c r="H45" s="1">
        <f t="shared" si="0"/>
        <v>8423.3221000000012</v>
      </c>
      <c r="I45" s="1">
        <v>14.04</v>
      </c>
      <c r="J45" s="1">
        <v>2.7199999999999998</v>
      </c>
      <c r="K45" s="1">
        <v>11.18</v>
      </c>
      <c r="L45" s="1">
        <v>0</v>
      </c>
      <c r="M45" s="1">
        <v>0</v>
      </c>
      <c r="N45" s="1">
        <f t="shared" si="1"/>
        <v>16.759999999999998</v>
      </c>
      <c r="O45" s="1">
        <v>14.75</v>
      </c>
      <c r="P45" s="1">
        <v>0</v>
      </c>
      <c r="Q45" s="1">
        <v>0.32</v>
      </c>
      <c r="R45" s="1">
        <v>0</v>
      </c>
      <c r="S45" s="1">
        <v>0</v>
      </c>
      <c r="T45" s="1">
        <f t="shared" si="2"/>
        <v>14.75</v>
      </c>
      <c r="U45" s="1">
        <f t="shared" si="3"/>
        <v>8454.8321000000014</v>
      </c>
    </row>
    <row r="46" spans="1:23" ht="38.25" customHeight="1">
      <c r="A46" s="36">
        <v>30</v>
      </c>
      <c r="B46" s="38" t="s">
        <v>51</v>
      </c>
      <c r="C46" s="1">
        <v>7702.3550000000014</v>
      </c>
      <c r="D46" s="1">
        <v>36.14</v>
      </c>
      <c r="E46" s="1">
        <v>240.57</v>
      </c>
      <c r="F46" s="1">
        <v>0</v>
      </c>
      <c r="G46" s="1">
        <v>0</v>
      </c>
      <c r="H46" s="1">
        <f t="shared" si="0"/>
        <v>7738.4950000000017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1"/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f t="shared" si="2"/>
        <v>0</v>
      </c>
      <c r="U46" s="1">
        <f t="shared" si="3"/>
        <v>7738.4950000000017</v>
      </c>
    </row>
    <row r="47" spans="1:23" s="7" customFormat="1" ht="38.25" customHeight="1">
      <c r="A47" s="36">
        <v>31</v>
      </c>
      <c r="B47" s="38" t="s">
        <v>52</v>
      </c>
      <c r="C47" s="1">
        <v>8741.4000000000015</v>
      </c>
      <c r="D47" s="1">
        <v>43.24</v>
      </c>
      <c r="E47" s="1">
        <v>365.40999999999997</v>
      </c>
      <c r="F47" s="1">
        <v>0</v>
      </c>
      <c r="G47" s="1">
        <v>0</v>
      </c>
      <c r="H47" s="1">
        <f t="shared" si="0"/>
        <v>8784.6400000000012</v>
      </c>
      <c r="I47" s="1">
        <v>3.13</v>
      </c>
      <c r="J47" s="1">
        <v>0</v>
      </c>
      <c r="K47" s="1">
        <v>0</v>
      </c>
      <c r="L47" s="1">
        <v>0</v>
      </c>
      <c r="M47" s="1">
        <v>0</v>
      </c>
      <c r="N47" s="1">
        <f t="shared" si="1"/>
        <v>3.13</v>
      </c>
      <c r="O47" s="1">
        <v>0.03</v>
      </c>
      <c r="P47" s="1">
        <v>0</v>
      </c>
      <c r="Q47" s="1">
        <v>0</v>
      </c>
      <c r="R47" s="1">
        <v>0</v>
      </c>
      <c r="S47" s="1">
        <v>0</v>
      </c>
      <c r="T47" s="1">
        <f t="shared" si="2"/>
        <v>0.03</v>
      </c>
      <c r="U47" s="1">
        <f t="shared" si="3"/>
        <v>8787.8000000000011</v>
      </c>
    </row>
    <row r="48" spans="1:23" s="7" customFormat="1" ht="38.25" customHeight="1">
      <c r="A48" s="36">
        <v>32</v>
      </c>
      <c r="B48" s="38" t="s">
        <v>53</v>
      </c>
      <c r="C48" s="1">
        <v>8163.7789999999995</v>
      </c>
      <c r="D48" s="1">
        <v>33.01</v>
      </c>
      <c r="E48" s="1">
        <v>576.35899999999992</v>
      </c>
      <c r="F48" s="1">
        <v>0</v>
      </c>
      <c r="G48" s="1">
        <v>0</v>
      </c>
      <c r="H48" s="1">
        <f t="shared" si="0"/>
        <v>8196.7889999999989</v>
      </c>
      <c r="I48" s="1">
        <v>3.8949999999999996</v>
      </c>
      <c r="J48" s="1">
        <v>1.1299999999999999</v>
      </c>
      <c r="K48" s="1">
        <v>4.5199999999999996</v>
      </c>
      <c r="L48" s="1">
        <v>0</v>
      </c>
      <c r="M48" s="1">
        <v>0</v>
      </c>
      <c r="N48" s="1">
        <f t="shared" si="1"/>
        <v>5.0249999999999995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f t="shared" si="2"/>
        <v>0</v>
      </c>
      <c r="U48" s="1">
        <f t="shared" si="3"/>
        <v>8201.8139999999985</v>
      </c>
    </row>
    <row r="49" spans="1:21" s="7" customFormat="1" ht="38.25" customHeight="1">
      <c r="A49" s="35"/>
      <c r="B49" s="37" t="s">
        <v>54</v>
      </c>
      <c r="C49" s="2">
        <f>SUM(C45:C48)</f>
        <v>32984.806100000009</v>
      </c>
      <c r="D49" s="2">
        <f t="shared" ref="D49:U49" si="15">SUM(D45:D48)</f>
        <v>158.44</v>
      </c>
      <c r="E49" s="2">
        <f t="shared" si="15"/>
        <v>1523.6790000000001</v>
      </c>
      <c r="F49" s="2">
        <f t="shared" si="15"/>
        <v>0</v>
      </c>
      <c r="G49" s="2">
        <f t="shared" si="15"/>
        <v>6.46</v>
      </c>
      <c r="H49" s="2">
        <f t="shared" si="15"/>
        <v>33143.246100000004</v>
      </c>
      <c r="I49" s="2">
        <f t="shared" si="15"/>
        <v>21.064999999999998</v>
      </c>
      <c r="J49" s="2">
        <f t="shared" si="15"/>
        <v>3.8499999999999996</v>
      </c>
      <c r="K49" s="2">
        <f t="shared" si="15"/>
        <v>15.7</v>
      </c>
      <c r="L49" s="2">
        <f t="shared" si="15"/>
        <v>0</v>
      </c>
      <c r="M49" s="2">
        <f t="shared" si="15"/>
        <v>0</v>
      </c>
      <c r="N49" s="2">
        <f t="shared" si="15"/>
        <v>24.914999999999996</v>
      </c>
      <c r="O49" s="2">
        <f t="shared" si="15"/>
        <v>14.78</v>
      </c>
      <c r="P49" s="2">
        <f t="shared" si="15"/>
        <v>0</v>
      </c>
      <c r="Q49" s="2">
        <f t="shared" si="15"/>
        <v>0.32</v>
      </c>
      <c r="R49" s="2">
        <f t="shared" si="15"/>
        <v>0</v>
      </c>
      <c r="S49" s="2">
        <f t="shared" si="15"/>
        <v>0</v>
      </c>
      <c r="T49" s="2">
        <f t="shared" si="15"/>
        <v>14.78</v>
      </c>
      <c r="U49" s="2">
        <f t="shared" si="15"/>
        <v>33182.941100000004</v>
      </c>
    </row>
    <row r="50" spans="1:21" s="7" customFormat="1" ht="38.25" customHeight="1">
      <c r="A50" s="35"/>
      <c r="B50" s="37" t="s">
        <v>55</v>
      </c>
      <c r="C50" s="2">
        <f>C49+C44</f>
        <v>69439.796100000007</v>
      </c>
      <c r="D50" s="2">
        <f t="shared" ref="D50:U50" si="16">D49+D44</f>
        <v>364.85</v>
      </c>
      <c r="E50" s="2">
        <f t="shared" si="16"/>
        <v>2738.3789999999999</v>
      </c>
      <c r="F50" s="2">
        <f t="shared" si="16"/>
        <v>0</v>
      </c>
      <c r="G50" s="2">
        <f t="shared" si="16"/>
        <v>6.46</v>
      </c>
      <c r="H50" s="2">
        <f t="shared" si="16"/>
        <v>69804.646099999998</v>
      </c>
      <c r="I50" s="2">
        <f t="shared" si="16"/>
        <v>21.064999999999998</v>
      </c>
      <c r="J50" s="2">
        <f t="shared" si="16"/>
        <v>3.8499999999999996</v>
      </c>
      <c r="K50" s="2">
        <f t="shared" si="16"/>
        <v>15.7</v>
      </c>
      <c r="L50" s="2">
        <f t="shared" si="16"/>
        <v>0</v>
      </c>
      <c r="M50" s="2">
        <f t="shared" si="16"/>
        <v>0</v>
      </c>
      <c r="N50" s="2">
        <f t="shared" si="16"/>
        <v>24.914999999999996</v>
      </c>
      <c r="O50" s="2">
        <f t="shared" si="16"/>
        <v>53.8</v>
      </c>
      <c r="P50" s="2">
        <f t="shared" si="16"/>
        <v>0</v>
      </c>
      <c r="Q50" s="2">
        <f t="shared" si="16"/>
        <v>5.99</v>
      </c>
      <c r="R50" s="2">
        <f t="shared" si="16"/>
        <v>0</v>
      </c>
      <c r="S50" s="2">
        <f t="shared" si="16"/>
        <v>0</v>
      </c>
      <c r="T50" s="2">
        <f t="shared" si="16"/>
        <v>53.8</v>
      </c>
      <c r="U50" s="2">
        <f t="shared" si="16"/>
        <v>69883.361099999995</v>
      </c>
    </row>
    <row r="51" spans="1:21" s="7" customFormat="1" ht="38.25" customHeight="1">
      <c r="A51" s="35"/>
      <c r="B51" s="37" t="s">
        <v>56</v>
      </c>
      <c r="C51" s="2">
        <f>C50+C39+C25</f>
        <v>115111.67990000002</v>
      </c>
      <c r="D51" s="2">
        <f t="shared" ref="D51:U51" si="17">D50+D39+D25</f>
        <v>517.24</v>
      </c>
      <c r="E51" s="53">
        <f t="shared" si="17"/>
        <v>3906.0720000000001</v>
      </c>
      <c r="F51" s="2">
        <f t="shared" si="17"/>
        <v>216.43</v>
      </c>
      <c r="G51" s="53">
        <f t="shared" si="17"/>
        <v>626.89800000000002</v>
      </c>
      <c r="H51" s="2">
        <f t="shared" si="17"/>
        <v>115412.4899</v>
      </c>
      <c r="I51" s="2">
        <f t="shared" si="17"/>
        <v>7940.2000000000007</v>
      </c>
      <c r="J51" s="2">
        <f t="shared" si="17"/>
        <v>490.49400000000003</v>
      </c>
      <c r="K51" s="53">
        <f t="shared" si="17"/>
        <v>1525.749</v>
      </c>
      <c r="L51" s="2">
        <f t="shared" si="17"/>
        <v>0</v>
      </c>
      <c r="M51" s="53">
        <f t="shared" si="17"/>
        <v>19.510000000000002</v>
      </c>
      <c r="N51" s="2">
        <f t="shared" si="17"/>
        <v>8430.6939999999995</v>
      </c>
      <c r="O51" s="2">
        <f t="shared" si="17"/>
        <v>946.0440000000001</v>
      </c>
      <c r="P51" s="2">
        <f t="shared" si="17"/>
        <v>8.15</v>
      </c>
      <c r="Q51" s="53">
        <f t="shared" si="17"/>
        <v>49.267000000000003</v>
      </c>
      <c r="R51" s="2">
        <f t="shared" si="17"/>
        <v>12.714</v>
      </c>
      <c r="S51" s="53">
        <f t="shared" si="17"/>
        <v>32.498999999999995</v>
      </c>
      <c r="T51" s="2">
        <f t="shared" si="17"/>
        <v>941.48000000000013</v>
      </c>
      <c r="U51" s="2">
        <f t="shared" si="17"/>
        <v>124784.66389999999</v>
      </c>
    </row>
    <row r="52" spans="1:21" s="7" customFormat="1" ht="28.5" customHeight="1">
      <c r="A52" s="18"/>
      <c r="B52" s="2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34"/>
      <c r="J53" s="34">
        <f>D51+J51+P51-F51-L51-R51</f>
        <v>786.7399999999999</v>
      </c>
      <c r="K53" s="34"/>
      <c r="L53" s="34"/>
      <c r="M53" s="34"/>
      <c r="N53" s="34"/>
      <c r="R53" s="34"/>
      <c r="U53" s="34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34"/>
      <c r="J54" s="34">
        <f>E51+K51+Q51-G51-M51-S51</f>
        <v>4802.1809999999996</v>
      </c>
      <c r="K54" s="34"/>
      <c r="L54" s="34"/>
      <c r="M54" s="34"/>
      <c r="N54" s="34"/>
      <c r="R54" s="34"/>
      <c r="T54" s="34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124784.6639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34"/>
      <c r="E56" s="34"/>
      <c r="F56" s="34"/>
      <c r="G56" s="34"/>
      <c r="H56" s="4"/>
      <c r="I56" s="19"/>
      <c r="J56" s="34"/>
      <c r="K56" s="4"/>
      <c r="L56" s="4"/>
      <c r="M56" s="4"/>
      <c r="N56" s="11">
        <f>'[1]sep 2020 '!J56+'March 2022'!J53</f>
        <v>117537.65089999999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2021'!J55+'March 2022'!J53</f>
        <v>121003.2589</v>
      </c>
      <c r="N57" s="7"/>
      <c r="O57" s="3"/>
      <c r="P57" s="32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33"/>
      <c r="L58" s="10"/>
      <c r="M58" s="7"/>
      <c r="N58" s="29">
        <f>'[2]July 2021'!J55+'March 2022'!J53</f>
        <v>121792.00989999999</v>
      </c>
      <c r="O58" s="29">
        <f>'[2]April 2021'!J55+'March 2022'!J53</f>
        <v>121003.2589</v>
      </c>
      <c r="P58" s="32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2021'!J55+'March 2022'!J53</f>
        <v>120482.4479</v>
      </c>
      <c r="J59" s="143" t="s">
        <v>63</v>
      </c>
      <c r="K59" s="143"/>
      <c r="L59" s="143"/>
      <c r="M59" s="11" t="e">
        <f>#REF!+'March 2022'!J53</f>
        <v>#REF!</v>
      </c>
      <c r="N59" s="4"/>
    </row>
    <row r="60" spans="1:21" ht="37.5" customHeight="1">
      <c r="G60" s="4"/>
      <c r="H60" s="11">
        <f>H51+N51+T51</f>
        <v>124784.6639</v>
      </c>
      <c r="J60" s="143" t="s">
        <v>64</v>
      </c>
      <c r="K60" s="143"/>
      <c r="L60" s="143"/>
      <c r="M60" s="11" t="e">
        <f>#REF!+'March 2022'!J53</f>
        <v>#REF!</v>
      </c>
    </row>
    <row r="61" spans="1:21">
      <c r="H61" s="23"/>
    </row>
    <row r="62" spans="1:21">
      <c r="G62" s="4"/>
      <c r="H62" s="11">
        <f>'[1]nov 2020'!J56+'March 2022'!J53</f>
        <v>119401.5909</v>
      </c>
      <c r="I62" s="24"/>
      <c r="J62" s="23"/>
    </row>
    <row r="63" spans="1:21">
      <c r="H63" s="11">
        <f>'[1]nov 2020'!J56+'March 2022'!J53</f>
        <v>119401.5909</v>
      </c>
      <c r="I63" s="30">
        <f>'[2]June 2021)'!J55+'March 2022'!J53</f>
        <v>121463.23890000001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E1" zoomScale="39" zoomScaleNormal="39" workbookViewId="0">
      <pane ySplit="6" topLeftCell="A37" activePane="bottomLeft" state="frozen"/>
      <selection pane="bottomLeft" activeCell="N48" sqref="N48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24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123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122" t="s">
        <v>11</v>
      </c>
      <c r="E6" s="122" t="s">
        <v>12</v>
      </c>
      <c r="F6" s="122" t="s">
        <v>11</v>
      </c>
      <c r="G6" s="122" t="s">
        <v>12</v>
      </c>
      <c r="H6" s="135"/>
      <c r="I6" s="138"/>
      <c r="J6" s="122" t="s">
        <v>11</v>
      </c>
      <c r="K6" s="122" t="s">
        <v>12</v>
      </c>
      <c r="L6" s="122" t="s">
        <v>11</v>
      </c>
      <c r="M6" s="122" t="s">
        <v>12</v>
      </c>
      <c r="N6" s="135"/>
      <c r="O6" s="138"/>
      <c r="P6" s="122" t="s">
        <v>11</v>
      </c>
      <c r="Q6" s="122" t="s">
        <v>12</v>
      </c>
      <c r="R6" s="122" t="s">
        <v>11</v>
      </c>
      <c r="S6" s="122" t="s">
        <v>12</v>
      </c>
      <c r="T6" s="135"/>
      <c r="U6" s="135"/>
    </row>
    <row r="7" spans="1:21" ht="38.25" customHeight="1">
      <c r="A7" s="123">
        <v>1</v>
      </c>
      <c r="B7" s="126" t="s">
        <v>13</v>
      </c>
      <c r="C7" s="1">
        <f>'Nov 2022'!H7</f>
        <v>7.179999999999982</v>
      </c>
      <c r="D7" s="1">
        <v>0</v>
      </c>
      <c r="E7" s="1">
        <f>'Nov 2022'!E7+'Dec 2022'!D7</f>
        <v>0</v>
      </c>
      <c r="F7" s="1">
        <v>0</v>
      </c>
      <c r="G7" s="1">
        <f>'Nov 2022'!G7+'Dec 2022'!F7</f>
        <v>82.86</v>
      </c>
      <c r="H7" s="117">
        <f>C7+D7-F7</f>
        <v>7.179999999999982</v>
      </c>
      <c r="I7" s="1">
        <f>'Nov 2022'!N7</f>
        <v>690.12599999999975</v>
      </c>
      <c r="J7" s="1">
        <v>0</v>
      </c>
      <c r="K7" s="1">
        <f>'Nov 2022'!K7+'Dec 2022'!J7</f>
        <v>105.90899999999999</v>
      </c>
      <c r="L7" s="1">
        <v>0</v>
      </c>
      <c r="M7" s="1">
        <f>'Nov 2022'!M7+'Dec 2022'!L7</f>
        <v>0</v>
      </c>
      <c r="N7" s="117">
        <f>I7+J7-L7</f>
        <v>690.12599999999975</v>
      </c>
      <c r="O7" s="1">
        <f>'Nov 2022'!T7</f>
        <v>8.436000000000007</v>
      </c>
      <c r="P7" s="1">
        <v>0</v>
      </c>
      <c r="Q7" s="1">
        <f>'Nov 2022'!Q7+'Dec 2022'!P7</f>
        <v>0</v>
      </c>
      <c r="R7" s="1">
        <v>0</v>
      </c>
      <c r="S7" s="1">
        <f>'Nov 2022'!S7+'Dec 2022'!R7</f>
        <v>1.01</v>
      </c>
      <c r="T7" s="117">
        <f>O7+P7-R7</f>
        <v>8.436000000000007</v>
      </c>
      <c r="U7" s="1">
        <f>H7+N7+T7</f>
        <v>705.74199999999973</v>
      </c>
    </row>
    <row r="8" spans="1:21" ht="38.25" customHeight="1">
      <c r="A8" s="123">
        <v>2</v>
      </c>
      <c r="B8" s="126" t="s">
        <v>14</v>
      </c>
      <c r="C8" s="1">
        <f>'Nov 2022'!H8</f>
        <v>265.39</v>
      </c>
      <c r="D8" s="1">
        <v>0</v>
      </c>
      <c r="E8" s="1">
        <f>'Nov 2022'!E8+'Dec 2022'!D8</f>
        <v>0</v>
      </c>
      <c r="F8" s="1">
        <v>0</v>
      </c>
      <c r="G8" s="1">
        <f>'Nov 2022'!G8+'Dec 2022'!F8</f>
        <v>0</v>
      </c>
      <c r="H8" s="117">
        <f t="shared" ref="H8:H48" si="0">C8+D8-F8</f>
        <v>265.39</v>
      </c>
      <c r="I8" s="1">
        <f>'Nov 2022'!N8</f>
        <v>365.38000000000005</v>
      </c>
      <c r="J8" s="1">
        <v>10.79</v>
      </c>
      <c r="K8" s="1">
        <f>'Nov 2022'!K8+'Dec 2022'!J8</f>
        <v>64.19</v>
      </c>
      <c r="L8" s="1">
        <v>0</v>
      </c>
      <c r="M8" s="1">
        <f>'Nov 2022'!M8+'Dec 2022'!L8</f>
        <v>0</v>
      </c>
      <c r="N8" s="117">
        <f t="shared" ref="N8:N48" si="1">I8+J8-L8</f>
        <v>376.17000000000007</v>
      </c>
      <c r="O8" s="1">
        <f>'Nov 2022'!T8</f>
        <v>66.290000000000006</v>
      </c>
      <c r="P8" s="1">
        <v>0</v>
      </c>
      <c r="Q8" s="1">
        <f>'Nov 2022'!Q8+'Dec 2022'!P8</f>
        <v>0</v>
      </c>
      <c r="R8" s="1">
        <v>0</v>
      </c>
      <c r="S8" s="1">
        <f>'Nov 2022'!S8+'Dec 2022'!R8</f>
        <v>0</v>
      </c>
      <c r="T8" s="117">
        <f t="shared" ref="T8:T48" si="2">O8+P8-R8</f>
        <v>66.290000000000006</v>
      </c>
      <c r="U8" s="1">
        <f t="shared" ref="U8:U48" si="3">H8+N8+T8</f>
        <v>707.85</v>
      </c>
    </row>
    <row r="9" spans="1:21" ht="38.25" customHeight="1">
      <c r="A9" s="123">
        <v>3</v>
      </c>
      <c r="B9" s="126" t="s">
        <v>15</v>
      </c>
      <c r="C9" s="1">
        <f>'Nov 2022'!H9</f>
        <v>209.16</v>
      </c>
      <c r="D9" s="1">
        <v>0</v>
      </c>
      <c r="E9" s="1">
        <f>'Nov 2022'!E9+'Dec 2022'!D9</f>
        <v>0</v>
      </c>
      <c r="F9" s="1">
        <v>0</v>
      </c>
      <c r="G9" s="1">
        <f>'Nov 2022'!G9+'Dec 2022'!F9</f>
        <v>0</v>
      </c>
      <c r="H9" s="117">
        <f t="shared" si="0"/>
        <v>209.16</v>
      </c>
      <c r="I9" s="1">
        <f>'Nov 2022'!N9</f>
        <v>871.71800000000007</v>
      </c>
      <c r="J9" s="1">
        <v>7.73</v>
      </c>
      <c r="K9" s="1">
        <f>'Nov 2022'!K9+'Dec 2022'!J9</f>
        <v>122.89999999999999</v>
      </c>
      <c r="L9" s="1">
        <v>0</v>
      </c>
      <c r="M9" s="1">
        <f>'Nov 2022'!M9+'Dec 2022'!L9</f>
        <v>0</v>
      </c>
      <c r="N9" s="117">
        <f t="shared" si="1"/>
        <v>879.44800000000009</v>
      </c>
      <c r="O9" s="1">
        <f>'Nov 2022'!T9</f>
        <v>44.739999999999995</v>
      </c>
      <c r="P9" s="1">
        <v>0</v>
      </c>
      <c r="Q9" s="1">
        <f>'Nov 2022'!Q9+'Dec 2022'!P9</f>
        <v>0</v>
      </c>
      <c r="R9" s="1">
        <v>0</v>
      </c>
      <c r="S9" s="1">
        <f>'Nov 2022'!S9+'Dec 2022'!R9</f>
        <v>0</v>
      </c>
      <c r="T9" s="117">
        <f t="shared" si="2"/>
        <v>44.739999999999995</v>
      </c>
      <c r="U9" s="1">
        <f t="shared" si="3"/>
        <v>1133.3480000000002</v>
      </c>
    </row>
    <row r="10" spans="1:21" s="7" customFormat="1" ht="38.25" customHeight="1">
      <c r="A10" s="123">
        <v>4</v>
      </c>
      <c r="B10" s="126" t="s">
        <v>16</v>
      </c>
      <c r="C10" s="1">
        <f>'Nov 2022'!H10</f>
        <v>0</v>
      </c>
      <c r="D10" s="1">
        <v>0</v>
      </c>
      <c r="E10" s="1">
        <f>'Nov 2022'!E10+'Dec 2022'!D10</f>
        <v>0</v>
      </c>
      <c r="F10" s="1">
        <v>0</v>
      </c>
      <c r="G10" s="1">
        <f>'Nov 2022'!G10+'Dec 2022'!F10</f>
        <v>0</v>
      </c>
      <c r="H10" s="117">
        <f t="shared" si="0"/>
        <v>0</v>
      </c>
      <c r="I10" s="1">
        <f>'Nov 2022'!N10</f>
        <v>351.25999999999993</v>
      </c>
      <c r="J10" s="1">
        <v>0.52</v>
      </c>
      <c r="K10" s="1">
        <f>'Nov 2022'!K10+'Dec 2022'!J10</f>
        <v>9.4050000000000011</v>
      </c>
      <c r="L10" s="1">
        <v>0</v>
      </c>
      <c r="M10" s="1">
        <f>'Nov 2022'!M10+'Dec 2022'!L10</f>
        <v>0</v>
      </c>
      <c r="N10" s="117">
        <f t="shared" si="1"/>
        <v>351.77999999999992</v>
      </c>
      <c r="O10" s="1">
        <f>'Nov 2022'!T10</f>
        <v>0.20000000000000007</v>
      </c>
      <c r="P10" s="1">
        <v>0</v>
      </c>
      <c r="Q10" s="1">
        <f>'Nov 2022'!Q10+'Dec 2022'!P10</f>
        <v>0</v>
      </c>
      <c r="R10" s="1">
        <v>0</v>
      </c>
      <c r="S10" s="1">
        <f>'Nov 2022'!S10+'Dec 2022'!R10</f>
        <v>0</v>
      </c>
      <c r="T10" s="117">
        <f t="shared" si="2"/>
        <v>0.20000000000000007</v>
      </c>
      <c r="U10" s="1">
        <f t="shared" si="3"/>
        <v>351.9799999999999</v>
      </c>
    </row>
    <row r="11" spans="1:21" s="7" customFormat="1" ht="38.25" customHeight="1">
      <c r="A11" s="122"/>
      <c r="B11" s="105" t="s">
        <v>17</v>
      </c>
      <c r="C11" s="2">
        <f>SUM(C7:C10)</f>
        <v>481.73</v>
      </c>
      <c r="D11" s="2">
        <f t="shared" ref="D11:U11" si="4">SUM(D7:D10)</f>
        <v>0</v>
      </c>
      <c r="E11" s="2">
        <f t="shared" si="4"/>
        <v>0</v>
      </c>
      <c r="F11" s="2">
        <f t="shared" si="4"/>
        <v>0</v>
      </c>
      <c r="G11" s="2">
        <f t="shared" si="4"/>
        <v>82.86</v>
      </c>
      <c r="H11" s="2">
        <f t="shared" si="4"/>
        <v>481.73</v>
      </c>
      <c r="I11" s="2">
        <f t="shared" si="4"/>
        <v>2278.4839999999999</v>
      </c>
      <c r="J11" s="2">
        <f t="shared" si="4"/>
        <v>19.04</v>
      </c>
      <c r="K11" s="2">
        <f t="shared" si="4"/>
        <v>302.404</v>
      </c>
      <c r="L11" s="2">
        <f t="shared" si="4"/>
        <v>0</v>
      </c>
      <c r="M11" s="2">
        <f t="shared" si="4"/>
        <v>0</v>
      </c>
      <c r="N11" s="2">
        <f t="shared" si="4"/>
        <v>2297.5239999999999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53">
        <f t="shared" si="4"/>
        <v>119.66600000000001</v>
      </c>
      <c r="U11" s="2">
        <f t="shared" si="4"/>
        <v>2898.9199999999996</v>
      </c>
    </row>
    <row r="12" spans="1:21" ht="38.25" customHeight="1">
      <c r="A12" s="123">
        <v>5</v>
      </c>
      <c r="B12" s="126" t="s">
        <v>18</v>
      </c>
      <c r="C12" s="1">
        <f>'Nov 2022'!H12</f>
        <v>141.9999999999996</v>
      </c>
      <c r="D12" s="1">
        <v>0</v>
      </c>
      <c r="E12" s="1">
        <f>'Nov 2022'!E12+'Dec 2022'!D12</f>
        <v>0</v>
      </c>
      <c r="F12" s="1">
        <v>0</v>
      </c>
      <c r="G12" s="1">
        <f>'Nov 2022'!G12+'Dec 2022'!F12</f>
        <v>213.31</v>
      </c>
      <c r="H12" s="117">
        <f t="shared" si="0"/>
        <v>141.9999999999996</v>
      </c>
      <c r="I12" s="1">
        <f>'Nov 2022'!N12</f>
        <v>1149.3249999999998</v>
      </c>
      <c r="J12" s="31">
        <v>4.8499999999999996</v>
      </c>
      <c r="K12" s="1">
        <f>'Nov 2022'!K12+'Dec 2022'!J12</f>
        <v>243.42999999999998</v>
      </c>
      <c r="L12" s="1">
        <v>0</v>
      </c>
      <c r="M12" s="1">
        <f>'Nov 2022'!M12+'Dec 2022'!L12</f>
        <v>0</v>
      </c>
      <c r="N12" s="117">
        <f t="shared" si="1"/>
        <v>1154.1749999999997</v>
      </c>
      <c r="O12" s="1">
        <f>'Nov 2022'!T12</f>
        <v>22.840000000000011</v>
      </c>
      <c r="P12" s="1">
        <v>0</v>
      </c>
      <c r="Q12" s="1">
        <f>'Nov 2022'!Q12+'Dec 2022'!P12</f>
        <v>0</v>
      </c>
      <c r="R12" s="1">
        <v>2.11</v>
      </c>
      <c r="S12" s="1">
        <f>'Nov 2022'!S12+'Dec 2022'!R12</f>
        <v>16.12</v>
      </c>
      <c r="T12" s="117">
        <f t="shared" si="2"/>
        <v>20.730000000000011</v>
      </c>
      <c r="U12" s="1">
        <f t="shared" si="3"/>
        <v>1316.9049999999993</v>
      </c>
    </row>
    <row r="13" spans="1:21" ht="38.25" customHeight="1">
      <c r="A13" s="123">
        <v>6</v>
      </c>
      <c r="B13" s="126" t="s">
        <v>19</v>
      </c>
      <c r="C13" s="1">
        <f>'Nov 2022'!H13</f>
        <v>312.23000000000013</v>
      </c>
      <c r="D13" s="1">
        <v>0</v>
      </c>
      <c r="E13" s="1">
        <f>'Nov 2022'!E13+'Dec 2022'!D13</f>
        <v>0</v>
      </c>
      <c r="F13" s="1">
        <v>0</v>
      </c>
      <c r="G13" s="1">
        <f>'Nov 2022'!G13+'Dec 2022'!F13</f>
        <v>0</v>
      </c>
      <c r="H13" s="117">
        <f t="shared" si="0"/>
        <v>312.23000000000013</v>
      </c>
      <c r="I13" s="1">
        <f>'Nov 2022'!N13</f>
        <v>537.29200000000014</v>
      </c>
      <c r="J13" s="31">
        <v>2.67</v>
      </c>
      <c r="K13" s="1">
        <f>'Nov 2022'!K13+'Dec 2022'!J13</f>
        <v>12.13</v>
      </c>
      <c r="L13" s="1">
        <v>0</v>
      </c>
      <c r="M13" s="1">
        <f>'Nov 2022'!M13+'Dec 2022'!L13</f>
        <v>0.7</v>
      </c>
      <c r="N13" s="117">
        <f t="shared" si="1"/>
        <v>539.9620000000001</v>
      </c>
      <c r="O13" s="1">
        <f>'Nov 2022'!T13</f>
        <v>68.39</v>
      </c>
      <c r="P13" s="1">
        <v>0</v>
      </c>
      <c r="Q13" s="1">
        <f>'Nov 2022'!Q13+'Dec 2022'!P13</f>
        <v>0</v>
      </c>
      <c r="R13" s="1">
        <v>0</v>
      </c>
      <c r="S13" s="1">
        <f>'Nov 2022'!S13+'Dec 2022'!R13</f>
        <v>0</v>
      </c>
      <c r="T13" s="117">
        <f t="shared" si="2"/>
        <v>68.39</v>
      </c>
      <c r="U13" s="1">
        <f t="shared" si="3"/>
        <v>920.58200000000022</v>
      </c>
    </row>
    <row r="14" spans="1:21" s="7" customFormat="1" ht="38.25" customHeight="1">
      <c r="A14" s="123">
        <v>7</v>
      </c>
      <c r="B14" s="126" t="s">
        <v>20</v>
      </c>
      <c r="C14" s="1">
        <f>'Nov 2022'!H14</f>
        <v>1216.4399999999994</v>
      </c>
      <c r="D14" s="1">
        <v>0</v>
      </c>
      <c r="E14" s="1">
        <f>'Nov 2022'!E14+'Dec 2022'!D14</f>
        <v>0</v>
      </c>
      <c r="F14" s="1">
        <v>0</v>
      </c>
      <c r="G14" s="1">
        <f>'Nov 2022'!G14+'Dec 2022'!F14</f>
        <v>0</v>
      </c>
      <c r="H14" s="117">
        <f t="shared" si="0"/>
        <v>1216.4399999999994</v>
      </c>
      <c r="I14" s="1">
        <f>'Nov 2022'!N14</f>
        <v>889.72800000000018</v>
      </c>
      <c r="J14" s="31">
        <v>4.63</v>
      </c>
      <c r="K14" s="1">
        <f>'Nov 2022'!K14+'Dec 2022'!J14</f>
        <v>29.57</v>
      </c>
      <c r="L14" s="1">
        <v>0</v>
      </c>
      <c r="M14" s="1">
        <f>'Nov 2022'!M14+'Dec 2022'!L14</f>
        <v>0</v>
      </c>
      <c r="N14" s="117">
        <f t="shared" si="1"/>
        <v>894.35800000000017</v>
      </c>
      <c r="O14" s="1">
        <f>'Nov 2022'!T14</f>
        <v>61.329999999999991</v>
      </c>
      <c r="P14" s="1">
        <v>0</v>
      </c>
      <c r="Q14" s="1">
        <f>'Nov 2022'!Q14+'Dec 2022'!P14</f>
        <v>0</v>
      </c>
      <c r="R14" s="1">
        <v>0</v>
      </c>
      <c r="S14" s="1">
        <f>'Nov 2022'!S14+'Dec 2022'!R14</f>
        <v>0</v>
      </c>
      <c r="T14" s="117">
        <f t="shared" si="2"/>
        <v>61.329999999999991</v>
      </c>
      <c r="U14" s="1">
        <f t="shared" si="3"/>
        <v>2172.1279999999997</v>
      </c>
    </row>
    <row r="15" spans="1:21" s="7" customFormat="1" ht="38.25" customHeight="1">
      <c r="A15" s="122"/>
      <c r="B15" s="105" t="s">
        <v>21</v>
      </c>
      <c r="C15" s="2">
        <f>SUM(C12:C14)</f>
        <v>1670.6699999999992</v>
      </c>
      <c r="D15" s="2">
        <f t="shared" ref="D15:U15" si="5">SUM(D12:D14)</f>
        <v>0</v>
      </c>
      <c r="E15" s="2">
        <f t="shared" si="5"/>
        <v>0</v>
      </c>
      <c r="F15" s="2">
        <f t="shared" si="5"/>
        <v>0</v>
      </c>
      <c r="G15" s="2">
        <f t="shared" si="5"/>
        <v>213.31</v>
      </c>
      <c r="H15" s="2">
        <f t="shared" si="5"/>
        <v>1670.6699999999992</v>
      </c>
      <c r="I15" s="2">
        <f t="shared" si="5"/>
        <v>2576.3450000000003</v>
      </c>
      <c r="J15" s="2">
        <f t="shared" si="5"/>
        <v>12.149999999999999</v>
      </c>
      <c r="K15" s="2">
        <f t="shared" si="5"/>
        <v>285.13</v>
      </c>
      <c r="L15" s="2">
        <f t="shared" si="5"/>
        <v>0</v>
      </c>
      <c r="M15" s="2">
        <f t="shared" si="5"/>
        <v>0.7</v>
      </c>
      <c r="N15" s="2">
        <f t="shared" si="5"/>
        <v>2588.4949999999999</v>
      </c>
      <c r="O15" s="2">
        <f t="shared" si="5"/>
        <v>152.56</v>
      </c>
      <c r="P15" s="2">
        <f t="shared" si="5"/>
        <v>0</v>
      </c>
      <c r="Q15" s="2">
        <f t="shared" si="5"/>
        <v>0</v>
      </c>
      <c r="R15" s="2">
        <f t="shared" si="5"/>
        <v>2.11</v>
      </c>
      <c r="S15" s="2">
        <f t="shared" si="5"/>
        <v>16.12</v>
      </c>
      <c r="T15" s="2">
        <f t="shared" si="5"/>
        <v>150.44999999999999</v>
      </c>
      <c r="U15" s="2">
        <f t="shared" si="5"/>
        <v>4409.6149999999998</v>
      </c>
    </row>
    <row r="16" spans="1:21" s="16" customFormat="1" ht="38.25" customHeight="1">
      <c r="A16" s="123">
        <v>8</v>
      </c>
      <c r="B16" s="126" t="s">
        <v>22</v>
      </c>
      <c r="C16" s="1">
        <f>'Nov 2022'!H16</f>
        <v>790.86400000000037</v>
      </c>
      <c r="D16" s="1">
        <v>0.56000000000000005</v>
      </c>
      <c r="E16" s="1">
        <f>'Nov 2022'!E16+'Dec 2022'!D16</f>
        <v>5.9</v>
      </c>
      <c r="F16" s="96">
        <v>11.23</v>
      </c>
      <c r="G16" s="1">
        <f>'Nov 2022'!G16+'Dec 2022'!F16</f>
        <v>219.54999999999998</v>
      </c>
      <c r="H16" s="117">
        <f t="shared" si="0"/>
        <v>780.1940000000003</v>
      </c>
      <c r="I16" s="1">
        <f>'Nov 2022'!N16</f>
        <v>572.27600000000007</v>
      </c>
      <c r="J16" s="1">
        <v>2.17</v>
      </c>
      <c r="K16" s="1">
        <f>'Nov 2022'!K16+'Dec 2022'!J16</f>
        <v>275.39999999999998</v>
      </c>
      <c r="L16" s="1">
        <v>0</v>
      </c>
      <c r="M16" s="1">
        <f>'Nov 2022'!M16+'Dec 2022'!L16</f>
        <v>0</v>
      </c>
      <c r="N16" s="117">
        <f t="shared" si="1"/>
        <v>574.44600000000003</v>
      </c>
      <c r="O16" s="1">
        <f>'Nov 2022'!T16</f>
        <v>177.41200000000003</v>
      </c>
      <c r="P16" s="1">
        <v>0</v>
      </c>
      <c r="Q16" s="1">
        <f>'Nov 2022'!Q16+'Dec 2022'!P16</f>
        <v>0</v>
      </c>
      <c r="R16" s="1">
        <v>0</v>
      </c>
      <c r="S16" s="1">
        <f>'Nov 2022'!S16+'Dec 2022'!R16</f>
        <v>0</v>
      </c>
      <c r="T16" s="117">
        <f t="shared" si="2"/>
        <v>177.41200000000003</v>
      </c>
      <c r="U16" s="1">
        <f t="shared" si="3"/>
        <v>1532.0520000000004</v>
      </c>
    </row>
    <row r="17" spans="1:23" ht="61.5" customHeight="1">
      <c r="A17" s="17">
        <v>9</v>
      </c>
      <c r="B17" s="26" t="s">
        <v>23</v>
      </c>
      <c r="C17" s="1">
        <f>'Nov 2022'!H17</f>
        <v>2.6759999999999478</v>
      </c>
      <c r="D17" s="1">
        <v>0</v>
      </c>
      <c r="E17" s="1">
        <f>'Nov 2022'!E17+'Dec 2022'!D17</f>
        <v>0</v>
      </c>
      <c r="F17" s="1">
        <v>0</v>
      </c>
      <c r="G17" s="1">
        <f>'Nov 2022'!G17+'Dec 2022'!F17</f>
        <v>3.74</v>
      </c>
      <c r="H17" s="117">
        <f t="shared" si="0"/>
        <v>2.6759999999999478</v>
      </c>
      <c r="I17" s="1">
        <f>'Nov 2022'!N17</f>
        <v>577.26</v>
      </c>
      <c r="J17" s="1">
        <v>4.75</v>
      </c>
      <c r="K17" s="1">
        <f>'Nov 2022'!K17+'Dec 2022'!J17</f>
        <v>70.260000000000005</v>
      </c>
      <c r="L17" s="1">
        <v>0</v>
      </c>
      <c r="M17" s="1">
        <f>'Nov 2022'!M17+'Dec 2022'!L17</f>
        <v>0</v>
      </c>
      <c r="N17" s="117">
        <f t="shared" si="1"/>
        <v>582.01</v>
      </c>
      <c r="O17" s="1">
        <f>'Nov 2022'!T17</f>
        <v>1.9700000000000002</v>
      </c>
      <c r="P17" s="1">
        <v>0</v>
      </c>
      <c r="Q17" s="1">
        <f>'Nov 2022'!Q17+'Dec 2022'!P17</f>
        <v>1.3399999999999999</v>
      </c>
      <c r="R17" s="1">
        <v>0.02</v>
      </c>
      <c r="S17" s="1">
        <f>'Nov 2022'!S17+'Dec 2022'!R17</f>
        <v>5.72</v>
      </c>
      <c r="T17" s="117">
        <f t="shared" si="2"/>
        <v>1.9500000000000002</v>
      </c>
      <c r="U17" s="1">
        <f t="shared" si="3"/>
        <v>586.63599999999997</v>
      </c>
    </row>
    <row r="18" spans="1:23" s="7" customFormat="1" ht="38.25" customHeight="1">
      <c r="A18" s="123">
        <v>10</v>
      </c>
      <c r="B18" s="126" t="s">
        <v>24</v>
      </c>
      <c r="C18" s="1">
        <f>'Nov 2022'!H18</f>
        <v>137.02600000000012</v>
      </c>
      <c r="D18" s="1">
        <v>0.05</v>
      </c>
      <c r="E18" s="1">
        <f>'Nov 2022'!E18+'Dec 2022'!D18</f>
        <v>1.3</v>
      </c>
      <c r="F18" s="1">
        <v>0</v>
      </c>
      <c r="G18" s="1">
        <f>'Nov 2022'!G18+'Dec 2022'!F18</f>
        <v>0</v>
      </c>
      <c r="H18" s="117">
        <f t="shared" si="0"/>
        <v>137.07600000000014</v>
      </c>
      <c r="I18" s="1">
        <f>'Nov 2022'!N18</f>
        <v>493.48700000000002</v>
      </c>
      <c r="J18" s="1">
        <v>0.9</v>
      </c>
      <c r="K18" s="1">
        <f>'Nov 2022'!K18+'Dec 2022'!J18</f>
        <v>7.660000000000001</v>
      </c>
      <c r="L18" s="1">
        <v>0</v>
      </c>
      <c r="M18" s="1">
        <f>'Nov 2022'!M18+'Dec 2022'!L18</f>
        <v>0.34</v>
      </c>
      <c r="N18" s="117">
        <f t="shared" si="1"/>
        <v>494.387</v>
      </c>
      <c r="O18" s="1">
        <f>'Nov 2022'!T18</f>
        <v>39.769999999999989</v>
      </c>
      <c r="P18" s="1">
        <v>0</v>
      </c>
      <c r="Q18" s="1">
        <f>'Nov 2022'!Q18+'Dec 2022'!P18</f>
        <v>0.89999999999999991</v>
      </c>
      <c r="R18" s="1">
        <v>0.28999999999999998</v>
      </c>
      <c r="S18" s="1">
        <f>'Nov 2022'!S18+'Dec 2022'!R18</f>
        <v>0.28999999999999998</v>
      </c>
      <c r="T18" s="117">
        <f t="shared" si="2"/>
        <v>39.47999999999999</v>
      </c>
      <c r="U18" s="1">
        <f t="shared" si="3"/>
        <v>670.94300000000021</v>
      </c>
    </row>
    <row r="19" spans="1:23" s="7" customFormat="1" ht="38.25" customHeight="1">
      <c r="A19" s="122"/>
      <c r="B19" s="105" t="s">
        <v>25</v>
      </c>
      <c r="C19" s="2">
        <f>SUM(C16:C18)</f>
        <v>930.56600000000049</v>
      </c>
      <c r="D19" s="2">
        <f t="shared" ref="D19:U19" si="6">SUM(D16:D18)</f>
        <v>0.6100000000000001</v>
      </c>
      <c r="E19" s="2">
        <f t="shared" si="6"/>
        <v>7.2</v>
      </c>
      <c r="F19" s="2">
        <f t="shared" si="6"/>
        <v>11.23</v>
      </c>
      <c r="G19" s="2">
        <f t="shared" si="6"/>
        <v>223.29</v>
      </c>
      <c r="H19" s="2">
        <f t="shared" si="6"/>
        <v>919.94600000000037</v>
      </c>
      <c r="I19" s="2">
        <f t="shared" si="6"/>
        <v>1643.0230000000001</v>
      </c>
      <c r="J19" s="2">
        <f t="shared" si="6"/>
        <v>7.82</v>
      </c>
      <c r="K19" s="2">
        <f t="shared" si="6"/>
        <v>353.32</v>
      </c>
      <c r="L19" s="2">
        <f t="shared" si="6"/>
        <v>0</v>
      </c>
      <c r="M19" s="2">
        <f t="shared" si="6"/>
        <v>0.34</v>
      </c>
      <c r="N19" s="2">
        <f t="shared" si="6"/>
        <v>1650.8430000000001</v>
      </c>
      <c r="O19" s="2">
        <f t="shared" si="6"/>
        <v>219.15200000000002</v>
      </c>
      <c r="P19" s="2">
        <f t="shared" si="6"/>
        <v>0</v>
      </c>
      <c r="Q19" s="2">
        <f t="shared" si="6"/>
        <v>2.2399999999999998</v>
      </c>
      <c r="R19" s="2">
        <f t="shared" si="6"/>
        <v>0.31</v>
      </c>
      <c r="S19" s="2">
        <f t="shared" si="6"/>
        <v>6.01</v>
      </c>
      <c r="T19" s="2">
        <f t="shared" si="6"/>
        <v>218.84200000000001</v>
      </c>
      <c r="U19" s="2">
        <f t="shared" si="6"/>
        <v>2789.6310000000003</v>
      </c>
    </row>
    <row r="20" spans="1:23" ht="38.25" customHeight="1">
      <c r="A20" s="123">
        <v>11</v>
      </c>
      <c r="B20" s="126" t="s">
        <v>26</v>
      </c>
      <c r="C20" s="1">
        <f>'Nov 2022'!H20</f>
        <v>607.27999999999986</v>
      </c>
      <c r="D20" s="1">
        <v>0</v>
      </c>
      <c r="E20" s="1">
        <f>'Nov 2022'!E20+'Dec 2022'!D20</f>
        <v>1.62</v>
      </c>
      <c r="F20" s="1">
        <v>0</v>
      </c>
      <c r="G20" s="1">
        <f>'Nov 2022'!G20+'Dec 2022'!F20</f>
        <v>24.91</v>
      </c>
      <c r="H20" s="117">
        <f t="shared" si="0"/>
        <v>607.27999999999986</v>
      </c>
      <c r="I20" s="1">
        <f>'Nov 2022'!N20</f>
        <v>729.18800000000022</v>
      </c>
      <c r="J20" s="1">
        <v>2.59</v>
      </c>
      <c r="K20" s="1">
        <f>'Nov 2022'!K20+'Dec 2022'!J20</f>
        <v>333.63</v>
      </c>
      <c r="L20" s="1">
        <v>0</v>
      </c>
      <c r="M20" s="1">
        <f>'Nov 2022'!M20+'Dec 2022'!L20</f>
        <v>1.04</v>
      </c>
      <c r="N20" s="117">
        <f t="shared" si="1"/>
        <v>731.77800000000025</v>
      </c>
      <c r="O20" s="1">
        <f>'Nov 2022'!T20</f>
        <v>37.580000000000005</v>
      </c>
      <c r="P20" s="1">
        <v>0</v>
      </c>
      <c r="Q20" s="1">
        <f>'Nov 2022'!Q20+'Dec 2022'!P20</f>
        <v>0</v>
      </c>
      <c r="R20" s="1">
        <v>0</v>
      </c>
      <c r="S20" s="1">
        <f>'Nov 2022'!S20+'Dec 2022'!R20</f>
        <v>2.77</v>
      </c>
      <c r="T20" s="117">
        <f t="shared" si="2"/>
        <v>37.580000000000005</v>
      </c>
      <c r="U20" s="1">
        <f t="shared" si="3"/>
        <v>1376.6379999999999</v>
      </c>
      <c r="W20" s="145"/>
    </row>
    <row r="21" spans="1:23" ht="38.25" customHeight="1">
      <c r="A21" s="123">
        <v>12</v>
      </c>
      <c r="B21" s="126" t="s">
        <v>27</v>
      </c>
      <c r="C21" s="1">
        <f>'Nov 2022'!H21</f>
        <v>22.51</v>
      </c>
      <c r="D21" s="1">
        <v>0</v>
      </c>
      <c r="E21" s="1">
        <f>'Nov 2022'!E21+'Dec 2022'!D21</f>
        <v>0</v>
      </c>
      <c r="F21" s="1">
        <v>0</v>
      </c>
      <c r="G21" s="1">
        <f>'Nov 2022'!G21+'Dec 2022'!F21</f>
        <v>0</v>
      </c>
      <c r="H21" s="117">
        <f t="shared" si="0"/>
        <v>22.51</v>
      </c>
      <c r="I21" s="1">
        <f>'Nov 2022'!N21</f>
        <v>422.59700000000009</v>
      </c>
      <c r="J21" s="1">
        <v>1.77</v>
      </c>
      <c r="K21" s="1">
        <f>'Nov 2022'!K21+'Dec 2022'!J21</f>
        <v>26.25</v>
      </c>
      <c r="L21" s="1">
        <v>0</v>
      </c>
      <c r="M21" s="1">
        <f>'Nov 2022'!M21+'Dec 2022'!L21</f>
        <v>0</v>
      </c>
      <c r="N21" s="117">
        <f t="shared" si="1"/>
        <v>424.36700000000008</v>
      </c>
      <c r="O21" s="1">
        <f>'Nov 2022'!T21</f>
        <v>19.489999999999998</v>
      </c>
      <c r="P21" s="1">
        <v>0</v>
      </c>
      <c r="Q21" s="1">
        <f>'Nov 2022'!Q21+'Dec 2022'!P21</f>
        <v>0.12</v>
      </c>
      <c r="R21" s="1">
        <v>0</v>
      </c>
      <c r="S21" s="1">
        <f>'Nov 2022'!S21+'Dec 2022'!R21</f>
        <v>0</v>
      </c>
      <c r="T21" s="117">
        <f t="shared" si="2"/>
        <v>19.489999999999998</v>
      </c>
      <c r="U21" s="1">
        <f t="shared" si="3"/>
        <v>466.36700000000008</v>
      </c>
      <c r="W21" s="145"/>
    </row>
    <row r="22" spans="1:23" s="7" customFormat="1" ht="38.25" customHeight="1">
      <c r="A22" s="123">
        <v>13</v>
      </c>
      <c r="B22" s="126" t="s">
        <v>28</v>
      </c>
      <c r="C22" s="1">
        <f>'Nov 2022'!H22</f>
        <v>22.430000000000021</v>
      </c>
      <c r="D22" s="1">
        <v>0</v>
      </c>
      <c r="E22" s="1">
        <f>'Nov 2022'!E22+'Dec 2022'!D22</f>
        <v>0</v>
      </c>
      <c r="F22" s="1">
        <v>0</v>
      </c>
      <c r="G22" s="1">
        <f>'Nov 2022'!G22+'Dec 2022'!F22</f>
        <v>0</v>
      </c>
      <c r="H22" s="117">
        <f t="shared" si="0"/>
        <v>22.430000000000021</v>
      </c>
      <c r="I22" s="1">
        <f>'Nov 2022'!N22</f>
        <v>695.25000000000011</v>
      </c>
      <c r="J22" s="1">
        <v>1.7</v>
      </c>
      <c r="K22" s="1">
        <f>'Nov 2022'!K22+'Dec 2022'!J22</f>
        <v>8.0599999999999987</v>
      </c>
      <c r="L22" s="1">
        <v>0</v>
      </c>
      <c r="M22" s="1">
        <f>'Nov 2022'!M22+'Dec 2022'!L22</f>
        <v>0.08</v>
      </c>
      <c r="N22" s="117">
        <f t="shared" si="1"/>
        <v>696.95000000000016</v>
      </c>
      <c r="O22" s="1">
        <f>'Nov 2022'!T22</f>
        <v>0.60000000000000098</v>
      </c>
      <c r="P22" s="1">
        <v>0</v>
      </c>
      <c r="Q22" s="1">
        <f>'Nov 2022'!Q22+'Dec 2022'!P22</f>
        <v>0</v>
      </c>
      <c r="R22" s="1">
        <v>0</v>
      </c>
      <c r="S22" s="1">
        <f>'Nov 2022'!S22+'Dec 2022'!R22</f>
        <v>0</v>
      </c>
      <c r="T22" s="117">
        <f t="shared" si="2"/>
        <v>0.60000000000000098</v>
      </c>
      <c r="U22" s="1">
        <f t="shared" si="3"/>
        <v>719.98000000000025</v>
      </c>
      <c r="W22" s="145"/>
    </row>
    <row r="23" spans="1:23" s="7" customFormat="1" ht="38.25" customHeight="1">
      <c r="A23" s="123">
        <v>14</v>
      </c>
      <c r="B23" s="126" t="s">
        <v>29</v>
      </c>
      <c r="C23" s="1">
        <f>'Nov 2022'!H23</f>
        <v>430.64</v>
      </c>
      <c r="D23" s="1">
        <v>0</v>
      </c>
      <c r="E23" s="1">
        <f>'Nov 2022'!E23+'Dec 2022'!D23</f>
        <v>3.4</v>
      </c>
      <c r="F23" s="1">
        <v>0</v>
      </c>
      <c r="G23" s="1">
        <f>'Nov 2022'!G23+'Dec 2022'!F23</f>
        <v>0</v>
      </c>
      <c r="H23" s="117">
        <f t="shared" si="0"/>
        <v>430.64</v>
      </c>
      <c r="I23" s="1">
        <f>'Nov 2022'!N23</f>
        <v>125.325</v>
      </c>
      <c r="J23" s="1">
        <v>1.71</v>
      </c>
      <c r="K23" s="1">
        <f>'Nov 2022'!K23+'Dec 2022'!J23</f>
        <v>25.150000000000002</v>
      </c>
      <c r="L23" s="1">
        <v>0</v>
      </c>
      <c r="M23" s="1">
        <f>'Nov 2022'!M23+'Dec 2022'!L23</f>
        <v>0</v>
      </c>
      <c r="N23" s="117">
        <f t="shared" si="1"/>
        <v>127.035</v>
      </c>
      <c r="O23" s="1">
        <f>'Nov 2022'!T23</f>
        <v>22.5</v>
      </c>
      <c r="P23" s="1">
        <v>0</v>
      </c>
      <c r="Q23" s="1">
        <f>'Nov 2022'!Q23+'Dec 2022'!P23</f>
        <v>0</v>
      </c>
      <c r="R23" s="1">
        <v>0</v>
      </c>
      <c r="S23" s="1">
        <f>'Nov 2022'!S23+'Dec 2022'!R23</f>
        <v>0</v>
      </c>
      <c r="T23" s="117">
        <f t="shared" si="2"/>
        <v>22.5</v>
      </c>
      <c r="U23" s="1">
        <f t="shared" si="3"/>
        <v>580.17499999999995</v>
      </c>
      <c r="W23" s="145"/>
    </row>
    <row r="24" spans="1:23" s="7" customFormat="1" ht="38.25" customHeight="1">
      <c r="A24" s="122"/>
      <c r="B24" s="105" t="s">
        <v>30</v>
      </c>
      <c r="C24" s="2">
        <f>SUM(C20:C23)</f>
        <v>1082.8599999999999</v>
      </c>
      <c r="D24" s="2">
        <f t="shared" ref="D24:U24" si="7">SUM(D20:D23)</f>
        <v>0</v>
      </c>
      <c r="E24" s="2">
        <f t="shared" si="7"/>
        <v>5.0199999999999996</v>
      </c>
      <c r="F24" s="2">
        <f t="shared" si="7"/>
        <v>0</v>
      </c>
      <c r="G24" s="2">
        <f t="shared" si="7"/>
        <v>24.91</v>
      </c>
      <c r="H24" s="2">
        <f t="shared" si="7"/>
        <v>1082.8599999999999</v>
      </c>
      <c r="I24" s="2">
        <f t="shared" si="7"/>
        <v>1972.3600000000004</v>
      </c>
      <c r="J24" s="2">
        <f t="shared" si="7"/>
        <v>7.77</v>
      </c>
      <c r="K24" s="2">
        <f t="shared" si="7"/>
        <v>393.09</v>
      </c>
      <c r="L24" s="2">
        <f t="shared" si="7"/>
        <v>0</v>
      </c>
      <c r="M24" s="2">
        <f t="shared" si="7"/>
        <v>1.1200000000000001</v>
      </c>
      <c r="N24" s="2">
        <f t="shared" si="7"/>
        <v>1980.1300000000008</v>
      </c>
      <c r="O24" s="2">
        <f t="shared" si="7"/>
        <v>80.170000000000016</v>
      </c>
      <c r="P24" s="2">
        <f t="shared" si="7"/>
        <v>0</v>
      </c>
      <c r="Q24" s="2">
        <f t="shared" si="7"/>
        <v>0.12</v>
      </c>
      <c r="R24" s="2">
        <f t="shared" si="7"/>
        <v>0</v>
      </c>
      <c r="S24" s="2">
        <f t="shared" si="7"/>
        <v>2.77</v>
      </c>
      <c r="T24" s="2">
        <f t="shared" si="7"/>
        <v>80.170000000000016</v>
      </c>
      <c r="U24" s="2">
        <f t="shared" si="7"/>
        <v>3143.1600000000008</v>
      </c>
    </row>
    <row r="25" spans="1:23" s="7" customFormat="1" ht="38.25" customHeight="1">
      <c r="A25" s="122"/>
      <c r="B25" s="125" t="s">
        <v>31</v>
      </c>
      <c r="C25" s="2">
        <f>C24+C19+C15+C11</f>
        <v>4165.8259999999991</v>
      </c>
      <c r="D25" s="2">
        <f t="shared" ref="D25:U25" si="8">D24+D19+D15+D11</f>
        <v>0.6100000000000001</v>
      </c>
      <c r="E25" s="2">
        <f t="shared" si="8"/>
        <v>12.219999999999999</v>
      </c>
      <c r="F25" s="2">
        <f t="shared" si="8"/>
        <v>11.23</v>
      </c>
      <c r="G25" s="2">
        <f t="shared" si="8"/>
        <v>544.37</v>
      </c>
      <c r="H25" s="2">
        <f t="shared" si="8"/>
        <v>4155.2060000000001</v>
      </c>
      <c r="I25" s="2">
        <f t="shared" si="8"/>
        <v>8470.2120000000014</v>
      </c>
      <c r="J25" s="2">
        <f t="shared" si="8"/>
        <v>46.78</v>
      </c>
      <c r="K25" s="2">
        <f t="shared" si="8"/>
        <v>1333.944</v>
      </c>
      <c r="L25" s="2">
        <f t="shared" si="8"/>
        <v>0</v>
      </c>
      <c r="M25" s="2">
        <f t="shared" si="8"/>
        <v>2.16</v>
      </c>
      <c r="N25" s="2">
        <f t="shared" si="8"/>
        <v>8516.9920000000002</v>
      </c>
      <c r="O25" s="2">
        <f t="shared" si="8"/>
        <v>571.548</v>
      </c>
      <c r="P25" s="2">
        <f t="shared" si="8"/>
        <v>0</v>
      </c>
      <c r="Q25" s="2">
        <f t="shared" si="8"/>
        <v>2.36</v>
      </c>
      <c r="R25" s="2">
        <f t="shared" si="8"/>
        <v>2.42</v>
      </c>
      <c r="S25" s="2">
        <f t="shared" si="8"/>
        <v>25.91</v>
      </c>
      <c r="T25" s="2">
        <f t="shared" si="8"/>
        <v>569.12800000000004</v>
      </c>
      <c r="U25" s="2">
        <f t="shared" si="8"/>
        <v>13241.326000000001</v>
      </c>
    </row>
    <row r="26" spans="1:23" ht="38.25" customHeight="1">
      <c r="A26" s="123">
        <v>15</v>
      </c>
      <c r="B26" s="126" t="s">
        <v>32</v>
      </c>
      <c r="C26" s="1">
        <f>'Nov 2022'!H26</f>
        <v>1597.26</v>
      </c>
      <c r="D26" s="1">
        <v>1.98</v>
      </c>
      <c r="E26" s="1">
        <f>'Nov 2022'!E26+'Dec 2022'!D26</f>
        <v>46.259999999999991</v>
      </c>
      <c r="F26" s="1">
        <v>0</v>
      </c>
      <c r="G26" s="1">
        <f>'Nov 2022'!G26+'Dec 2022'!F26</f>
        <v>0</v>
      </c>
      <c r="H26" s="117">
        <f t="shared" si="0"/>
        <v>1599.24</v>
      </c>
      <c r="I26" s="1">
        <f>'Nov 2022'!N26</f>
        <v>84.649999999999991</v>
      </c>
      <c r="J26" s="1">
        <v>18.329999999999998</v>
      </c>
      <c r="K26" s="1">
        <f>'Nov 2022'!K26+'Dec 2022'!J26</f>
        <v>35.65</v>
      </c>
      <c r="L26" s="1">
        <v>0</v>
      </c>
      <c r="M26" s="1">
        <f>'Nov 2022'!M26+'Dec 2022'!L26</f>
        <v>0</v>
      </c>
      <c r="N26" s="117">
        <f t="shared" si="1"/>
        <v>102.97999999999999</v>
      </c>
      <c r="O26" s="1">
        <f>'Nov 2022'!T26</f>
        <v>16.11</v>
      </c>
      <c r="P26" s="1">
        <v>0.15</v>
      </c>
      <c r="Q26" s="1">
        <f>'Nov 2022'!Q26+'Dec 2022'!P26</f>
        <v>0.15</v>
      </c>
      <c r="R26" s="1">
        <v>0</v>
      </c>
      <c r="S26" s="1">
        <f>'Nov 2022'!S26+'Dec 2022'!R26</f>
        <v>0</v>
      </c>
      <c r="T26" s="117">
        <f t="shared" si="2"/>
        <v>16.259999999999998</v>
      </c>
      <c r="U26" s="1">
        <f t="shared" si="3"/>
        <v>1718.48</v>
      </c>
    </row>
    <row r="27" spans="1:23" s="7" customFormat="1" ht="38.25" customHeight="1">
      <c r="A27" s="123">
        <v>16</v>
      </c>
      <c r="B27" s="126" t="s">
        <v>33</v>
      </c>
      <c r="C27" s="1">
        <f>'Nov 2022'!H27</f>
        <v>5665.8950000000041</v>
      </c>
      <c r="D27" s="1">
        <v>6.26</v>
      </c>
      <c r="E27" s="1">
        <f>'Nov 2022'!E27+'Dec 2022'!D27</f>
        <v>95.45</v>
      </c>
      <c r="F27" s="1">
        <v>0</v>
      </c>
      <c r="G27" s="1">
        <f>'Nov 2022'!G27+'Dec 2022'!F27</f>
        <v>0</v>
      </c>
      <c r="H27" s="117">
        <f t="shared" si="0"/>
        <v>5672.1550000000043</v>
      </c>
      <c r="I27" s="1">
        <f>'Nov 2022'!N27</f>
        <v>609.97799999999995</v>
      </c>
      <c r="J27" s="1">
        <v>7.12</v>
      </c>
      <c r="K27" s="1">
        <f>'Nov 2022'!K27+'Dec 2022'!J27</f>
        <v>22.910000000000004</v>
      </c>
      <c r="L27" s="1">
        <v>0</v>
      </c>
      <c r="M27" s="1">
        <f>'Nov 2022'!M27+'Dec 2022'!L27</f>
        <v>0</v>
      </c>
      <c r="N27" s="117">
        <f t="shared" si="1"/>
        <v>617.09799999999996</v>
      </c>
      <c r="O27" s="1">
        <f>'Nov 2022'!T27</f>
        <v>33.590000000000003</v>
      </c>
      <c r="P27" s="1">
        <v>0</v>
      </c>
      <c r="Q27" s="1">
        <f>'Nov 2022'!Q27+'Dec 2022'!P27</f>
        <v>0.1</v>
      </c>
      <c r="R27" s="1">
        <v>0</v>
      </c>
      <c r="S27" s="1">
        <f>'Nov 2022'!S27+'Dec 2022'!R27</f>
        <v>0</v>
      </c>
      <c r="T27" s="117">
        <f t="shared" si="2"/>
        <v>33.590000000000003</v>
      </c>
      <c r="U27" s="1">
        <f t="shared" si="3"/>
        <v>6322.8430000000044</v>
      </c>
    </row>
    <row r="28" spans="1:23" s="7" customFormat="1" ht="38.25" customHeight="1">
      <c r="A28" s="122"/>
      <c r="B28" s="105" t="s">
        <v>34</v>
      </c>
      <c r="C28" s="2">
        <f>SUM(C26:C27)</f>
        <v>7263.1550000000043</v>
      </c>
      <c r="D28" s="2">
        <f t="shared" ref="D28:U28" si="9">SUM(D26:D27)</f>
        <v>8.24</v>
      </c>
      <c r="E28" s="2">
        <f t="shared" si="9"/>
        <v>141.70999999999998</v>
      </c>
      <c r="F28" s="2">
        <f t="shared" si="9"/>
        <v>0</v>
      </c>
      <c r="G28" s="2">
        <f t="shared" si="9"/>
        <v>0</v>
      </c>
      <c r="H28" s="2">
        <f t="shared" si="9"/>
        <v>7271.3950000000041</v>
      </c>
      <c r="I28" s="2">
        <f t="shared" si="9"/>
        <v>694.62799999999993</v>
      </c>
      <c r="J28" s="2">
        <f t="shared" si="9"/>
        <v>25.45</v>
      </c>
      <c r="K28" s="2">
        <f t="shared" si="9"/>
        <v>58.56</v>
      </c>
      <c r="L28" s="2">
        <f t="shared" si="9"/>
        <v>0</v>
      </c>
      <c r="M28" s="2">
        <f t="shared" si="9"/>
        <v>0</v>
      </c>
      <c r="N28" s="2">
        <f t="shared" si="9"/>
        <v>720.07799999999997</v>
      </c>
      <c r="O28" s="2">
        <f t="shared" si="9"/>
        <v>49.7</v>
      </c>
      <c r="P28" s="2">
        <f t="shared" si="9"/>
        <v>0.15</v>
      </c>
      <c r="Q28" s="2">
        <f t="shared" si="9"/>
        <v>0.25</v>
      </c>
      <c r="R28" s="2">
        <f t="shared" si="9"/>
        <v>0</v>
      </c>
      <c r="S28" s="2">
        <f t="shared" si="9"/>
        <v>0</v>
      </c>
      <c r="T28" s="2">
        <f t="shared" si="9"/>
        <v>49.85</v>
      </c>
      <c r="U28" s="2">
        <f t="shared" si="9"/>
        <v>8041.323000000004</v>
      </c>
    </row>
    <row r="29" spans="1:23" ht="38.25" customHeight="1">
      <c r="A29" s="123">
        <v>17</v>
      </c>
      <c r="B29" s="126" t="s">
        <v>35</v>
      </c>
      <c r="C29" s="1">
        <f>'Nov 2022'!H29</f>
        <v>4826.3180000000011</v>
      </c>
      <c r="D29" s="96">
        <f>6.98+42.2</f>
        <v>49.180000000000007</v>
      </c>
      <c r="E29" s="1">
        <f>'Nov 2022'!E29+'Dec 2022'!D29</f>
        <v>216.81</v>
      </c>
      <c r="F29" s="1">
        <v>0</v>
      </c>
      <c r="G29" s="1">
        <f>'Nov 2022'!G29+'Dec 2022'!F29</f>
        <v>0</v>
      </c>
      <c r="H29" s="1">
        <f t="shared" si="0"/>
        <v>4875.4980000000014</v>
      </c>
      <c r="I29" s="1">
        <f>'Nov 2022'!N29</f>
        <v>120.86000000000001</v>
      </c>
      <c r="J29" s="1">
        <v>0.23</v>
      </c>
      <c r="K29" s="1">
        <f>'Nov 2022'!K29+'Dec 2022'!J29</f>
        <v>1.7000000000000002</v>
      </c>
      <c r="L29" s="1">
        <v>0</v>
      </c>
      <c r="M29" s="1">
        <f>'Nov 2022'!M29+'Dec 2022'!L29</f>
        <v>0</v>
      </c>
      <c r="N29" s="117">
        <f t="shared" si="1"/>
        <v>121.09000000000002</v>
      </c>
      <c r="O29" s="1">
        <f>'Nov 2022'!T29</f>
        <v>34.52000000000001</v>
      </c>
      <c r="P29" s="1">
        <v>0</v>
      </c>
      <c r="Q29" s="1">
        <f>'Nov 2022'!Q29+'Dec 2022'!P29</f>
        <v>0</v>
      </c>
      <c r="R29" s="1">
        <v>0</v>
      </c>
      <c r="S29" s="1">
        <f>'Nov 2022'!S29+'Dec 2022'!R29</f>
        <v>23.2</v>
      </c>
      <c r="T29" s="117">
        <f t="shared" si="2"/>
        <v>34.52000000000001</v>
      </c>
      <c r="U29" s="1">
        <f t="shared" si="3"/>
        <v>5031.108000000002</v>
      </c>
      <c r="W29" s="146"/>
    </row>
    <row r="30" spans="1:23" ht="54.75" customHeight="1">
      <c r="A30" s="123">
        <v>18</v>
      </c>
      <c r="B30" s="126" t="s">
        <v>36</v>
      </c>
      <c r="C30" s="1">
        <f>'Nov 2022'!H30</f>
        <v>3663.3499999999995</v>
      </c>
      <c r="D30" s="1">
        <v>7.77</v>
      </c>
      <c r="E30" s="1">
        <f>'Nov 2022'!E30+'Dec 2022'!D30</f>
        <v>58.780000000000015</v>
      </c>
      <c r="F30" s="1">
        <v>0</v>
      </c>
      <c r="G30" s="1">
        <f>'Nov 2022'!G30+'Dec 2022'!F30</f>
        <v>0</v>
      </c>
      <c r="H30" s="117">
        <f t="shared" si="0"/>
        <v>3671.1199999999994</v>
      </c>
      <c r="I30" s="1">
        <f>'Nov 2022'!N30</f>
        <v>198.58699999999999</v>
      </c>
      <c r="J30" s="1">
        <v>0</v>
      </c>
      <c r="K30" s="1">
        <f>'Nov 2022'!K30+'Dec 2022'!J30</f>
        <v>88</v>
      </c>
      <c r="L30" s="1">
        <v>0</v>
      </c>
      <c r="M30" s="1">
        <f>'Nov 2022'!M30+'Dec 2022'!L30</f>
        <v>0</v>
      </c>
      <c r="N30" s="117">
        <f t="shared" si="1"/>
        <v>198.58699999999999</v>
      </c>
      <c r="O30" s="1">
        <f>'Nov 2022'!T30</f>
        <v>23.25</v>
      </c>
      <c r="P30" s="1">
        <v>0</v>
      </c>
      <c r="Q30" s="1">
        <f>'Nov 2022'!Q30+'Dec 2022'!P30</f>
        <v>0</v>
      </c>
      <c r="R30" s="1">
        <v>0</v>
      </c>
      <c r="S30" s="1">
        <f>'Nov 2022'!S30+'Dec 2022'!R30</f>
        <v>0</v>
      </c>
      <c r="T30" s="117">
        <f t="shared" si="2"/>
        <v>23.25</v>
      </c>
      <c r="U30" s="1">
        <f t="shared" si="3"/>
        <v>3892.9569999999994</v>
      </c>
      <c r="W30" s="146"/>
    </row>
    <row r="31" spans="1:23" s="7" customFormat="1" ht="44.25" customHeight="1">
      <c r="A31" s="123">
        <v>19</v>
      </c>
      <c r="B31" s="126" t="s">
        <v>37</v>
      </c>
      <c r="C31" s="1">
        <f>'Nov 2022'!H31</f>
        <v>4692.5170000000007</v>
      </c>
      <c r="D31" s="1">
        <v>0.03</v>
      </c>
      <c r="E31" s="1">
        <f>'Nov 2022'!E31+'Dec 2022'!D31</f>
        <v>26.968000000000004</v>
      </c>
      <c r="F31" s="1">
        <v>0</v>
      </c>
      <c r="G31" s="1">
        <f>'Nov 2022'!G31+'Dec 2022'!F31</f>
        <v>0</v>
      </c>
      <c r="H31" s="117">
        <f t="shared" si="0"/>
        <v>4692.5470000000005</v>
      </c>
      <c r="I31" s="1">
        <f>'Nov 2022'!N31</f>
        <v>107.63000000000002</v>
      </c>
      <c r="J31" s="1">
        <v>0.06</v>
      </c>
      <c r="K31" s="1">
        <f>'Nov 2022'!K31+'Dec 2022'!J31</f>
        <v>0.06</v>
      </c>
      <c r="L31" s="1">
        <v>0</v>
      </c>
      <c r="M31" s="1">
        <f>'Nov 2022'!M31+'Dec 2022'!L31</f>
        <v>0</v>
      </c>
      <c r="N31" s="117">
        <f t="shared" si="1"/>
        <v>107.69000000000003</v>
      </c>
      <c r="O31" s="1">
        <f>'Nov 2022'!T31</f>
        <v>14.850000000000001</v>
      </c>
      <c r="P31" s="1">
        <v>0</v>
      </c>
      <c r="Q31" s="1">
        <f>'Nov 2022'!Q31+'Dec 2022'!P31</f>
        <v>0</v>
      </c>
      <c r="R31" s="1">
        <v>0</v>
      </c>
      <c r="S31" s="1">
        <f>'Nov 2022'!S31+'Dec 2022'!R31</f>
        <v>0</v>
      </c>
      <c r="T31" s="117">
        <f t="shared" si="2"/>
        <v>14.850000000000001</v>
      </c>
      <c r="U31" s="1">
        <f t="shared" si="3"/>
        <v>4815.0870000000004</v>
      </c>
      <c r="W31" s="146"/>
    </row>
    <row r="32" spans="1:23" ht="70.5" customHeight="1">
      <c r="A32" s="123">
        <v>20</v>
      </c>
      <c r="B32" s="126" t="s">
        <v>38</v>
      </c>
      <c r="C32" s="1">
        <f>'Nov 2022'!H32</f>
        <v>2352.3057999999996</v>
      </c>
      <c r="D32" s="1">
        <v>1.37</v>
      </c>
      <c r="E32" s="1">
        <f>'Nov 2022'!E32+'Dec 2022'!D32</f>
        <v>20.540000000000003</v>
      </c>
      <c r="F32" s="1">
        <v>0</v>
      </c>
      <c r="G32" s="1">
        <f>'Nov 2022'!G32+'Dec 2022'!F32</f>
        <v>9.7200000000000006</v>
      </c>
      <c r="H32" s="117">
        <f t="shared" si="0"/>
        <v>2353.6757999999995</v>
      </c>
      <c r="I32" s="1">
        <f>'Nov 2022'!N32</f>
        <v>87.596000000000004</v>
      </c>
      <c r="J32" s="1">
        <v>1.1399999999999999</v>
      </c>
      <c r="K32" s="1">
        <f>'Nov 2022'!K32+'Dec 2022'!J32</f>
        <v>5.97</v>
      </c>
      <c r="L32" s="1">
        <v>0</v>
      </c>
      <c r="M32" s="1">
        <f>'Nov 2022'!M32+'Dec 2022'!L32</f>
        <v>0</v>
      </c>
      <c r="N32" s="117">
        <f t="shared" si="1"/>
        <v>88.736000000000004</v>
      </c>
      <c r="O32" s="1">
        <f>'Nov 2022'!T32</f>
        <v>67.551999999999992</v>
      </c>
      <c r="P32" s="1">
        <v>0</v>
      </c>
      <c r="Q32" s="1">
        <f>'Nov 2022'!Q32+'Dec 2022'!P32</f>
        <v>0</v>
      </c>
      <c r="R32" s="1">
        <v>0</v>
      </c>
      <c r="S32" s="1">
        <f>'Nov 2022'!S32+'Dec 2022'!R32</f>
        <v>0</v>
      </c>
      <c r="T32" s="117">
        <f t="shared" si="2"/>
        <v>67.551999999999992</v>
      </c>
      <c r="U32" s="1">
        <f t="shared" si="3"/>
        <v>2509.9637999999995</v>
      </c>
      <c r="W32" s="146"/>
    </row>
    <row r="33" spans="1:23" s="7" customFormat="1" ht="38.25" customHeight="1">
      <c r="A33" s="122"/>
      <c r="B33" s="105" t="s">
        <v>65</v>
      </c>
      <c r="C33" s="2">
        <f>SUM(C29:C32)</f>
        <v>15534.490800000001</v>
      </c>
      <c r="D33" s="2">
        <f t="shared" ref="D33:U33" si="10">SUM(D29:D32)</f>
        <v>58.35</v>
      </c>
      <c r="E33" s="2">
        <f t="shared" si="10"/>
        <v>323.09800000000007</v>
      </c>
      <c r="F33" s="2">
        <f t="shared" si="10"/>
        <v>0</v>
      </c>
      <c r="G33" s="2">
        <f t="shared" si="10"/>
        <v>9.7200000000000006</v>
      </c>
      <c r="H33" s="2">
        <f t="shared" si="10"/>
        <v>15592.8408</v>
      </c>
      <c r="I33" s="2">
        <f t="shared" si="10"/>
        <v>514.673</v>
      </c>
      <c r="J33" s="2">
        <f t="shared" si="10"/>
        <v>1.43</v>
      </c>
      <c r="K33" s="2">
        <f t="shared" si="10"/>
        <v>95.73</v>
      </c>
      <c r="L33" s="2">
        <f t="shared" si="10"/>
        <v>0</v>
      </c>
      <c r="M33" s="2">
        <f t="shared" si="10"/>
        <v>0</v>
      </c>
      <c r="N33" s="2">
        <f t="shared" si="10"/>
        <v>516.10300000000007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10"/>
        <v>140.172</v>
      </c>
      <c r="U33" s="2">
        <f t="shared" si="10"/>
        <v>16249.115800000001</v>
      </c>
    </row>
    <row r="34" spans="1:23" ht="38.25" customHeight="1">
      <c r="A34" s="123">
        <v>21</v>
      </c>
      <c r="B34" s="126" t="s">
        <v>39</v>
      </c>
      <c r="C34" s="1">
        <f>'Nov 2022'!H34</f>
        <v>4562.97</v>
      </c>
      <c r="D34" s="1">
        <v>6.65</v>
      </c>
      <c r="E34" s="1">
        <f>'Nov 2022'!E34+'Dec 2022'!D34</f>
        <v>140.40999999999997</v>
      </c>
      <c r="F34" s="1">
        <v>0</v>
      </c>
      <c r="G34" s="1">
        <f>'Nov 2022'!G34+'Dec 2022'!F34</f>
        <v>9.89</v>
      </c>
      <c r="H34" s="1">
        <f t="shared" si="0"/>
        <v>4569.62</v>
      </c>
      <c r="I34" s="1">
        <f>'Nov 2022'!N34</f>
        <v>106.78999999999999</v>
      </c>
      <c r="J34" s="1">
        <v>0.6</v>
      </c>
      <c r="K34" s="1">
        <f>'Nov 2022'!K34+'Dec 2022'!J34</f>
        <v>107.38999999999999</v>
      </c>
      <c r="L34" s="1">
        <v>0</v>
      </c>
      <c r="M34" s="1">
        <f>'Nov 2022'!M34+'Dec 2022'!L34</f>
        <v>0</v>
      </c>
      <c r="N34" s="117">
        <f t="shared" si="1"/>
        <v>107.38999999999999</v>
      </c>
      <c r="O34" s="1">
        <f>'Nov 2022'!T34</f>
        <v>72.7</v>
      </c>
      <c r="P34" s="1">
        <v>0</v>
      </c>
      <c r="Q34" s="1">
        <f>'Nov 2022'!Q34+'Dec 2022'!P34</f>
        <v>72.7</v>
      </c>
      <c r="R34" s="1">
        <v>0</v>
      </c>
      <c r="S34" s="1">
        <f>'Nov 2022'!S34+'Dec 2022'!R34</f>
        <v>0</v>
      </c>
      <c r="T34" s="117">
        <f t="shared" si="2"/>
        <v>72.7</v>
      </c>
      <c r="U34" s="1">
        <f t="shared" si="3"/>
        <v>4749.71</v>
      </c>
    </row>
    <row r="35" spans="1:23" ht="38.25" customHeight="1">
      <c r="A35" s="123">
        <v>22</v>
      </c>
      <c r="B35" s="126" t="s">
        <v>40</v>
      </c>
      <c r="C35" s="1">
        <f>'Nov 2022'!H35</f>
        <v>6542.069999999997</v>
      </c>
      <c r="D35" s="1">
        <v>45.56</v>
      </c>
      <c r="E35" s="1">
        <f>'Nov 2022'!E35+'Dec 2022'!D35</f>
        <v>378.05</v>
      </c>
      <c r="F35" s="1">
        <v>0</v>
      </c>
      <c r="G35" s="1">
        <f>'Nov 2022'!G35+'Dec 2022'!F35</f>
        <v>0</v>
      </c>
      <c r="H35" s="1">
        <f t="shared" si="0"/>
        <v>6587.6299999999974</v>
      </c>
      <c r="I35" s="1">
        <f>'Nov 2022'!N35</f>
        <v>34.130000000000003</v>
      </c>
      <c r="J35" s="1">
        <v>0</v>
      </c>
      <c r="K35" s="1">
        <f>'Nov 2022'!K35+'Dec 2022'!J35</f>
        <v>27.21</v>
      </c>
      <c r="L35" s="1">
        <v>0</v>
      </c>
      <c r="M35" s="1">
        <f>'Nov 2022'!M35+'Dec 2022'!L35</f>
        <v>0</v>
      </c>
      <c r="N35" s="117">
        <f t="shared" si="1"/>
        <v>34.130000000000003</v>
      </c>
      <c r="O35" s="1">
        <f>'Nov 2022'!T35</f>
        <v>90.800000000000011</v>
      </c>
      <c r="P35" s="1">
        <v>0</v>
      </c>
      <c r="Q35" s="1">
        <f>'Nov 2022'!Q35+'Dec 2022'!P35</f>
        <v>32.380000000000003</v>
      </c>
      <c r="R35" s="1">
        <v>0</v>
      </c>
      <c r="S35" s="1">
        <f>'Nov 2022'!S35+'Dec 2022'!R35</f>
        <v>0</v>
      </c>
      <c r="T35" s="117">
        <f t="shared" si="2"/>
        <v>90.800000000000011</v>
      </c>
      <c r="U35" s="1">
        <f t="shared" si="3"/>
        <v>6712.5599999999977</v>
      </c>
    </row>
    <row r="36" spans="1:23" s="7" customFormat="1" ht="38.25" customHeight="1">
      <c r="A36" s="123">
        <v>23</v>
      </c>
      <c r="B36" s="126" t="s">
        <v>41</v>
      </c>
      <c r="C36" s="1">
        <f>'Nov 2022'!H36</f>
        <v>3588.19</v>
      </c>
      <c r="D36" s="1">
        <v>58.11</v>
      </c>
      <c r="E36" s="1">
        <f>'Nov 2022'!E36+'Dec 2022'!D36</f>
        <v>195.2</v>
      </c>
      <c r="F36" s="1">
        <v>0</v>
      </c>
      <c r="G36" s="1">
        <f>'Nov 2022'!G36+'Dec 2022'!F36</f>
        <v>0</v>
      </c>
      <c r="H36" s="1">
        <f t="shared" si="0"/>
        <v>3646.3</v>
      </c>
      <c r="I36" s="1">
        <f>'Nov 2022'!N36</f>
        <v>30.250000000000039</v>
      </c>
      <c r="J36" s="1">
        <v>0</v>
      </c>
      <c r="K36" s="1">
        <f>'Nov 2022'!K36+'Dec 2022'!J36</f>
        <v>5.2</v>
      </c>
      <c r="L36" s="1">
        <v>0</v>
      </c>
      <c r="M36" s="1">
        <f>'Nov 2022'!M36+'Dec 2022'!L36</f>
        <v>4.63</v>
      </c>
      <c r="N36" s="117">
        <f t="shared" si="1"/>
        <v>30.250000000000039</v>
      </c>
      <c r="O36" s="1">
        <f>'Nov 2022'!T36</f>
        <v>36.379999999999995</v>
      </c>
      <c r="P36" s="1">
        <v>0</v>
      </c>
      <c r="Q36" s="1">
        <f>'Nov 2022'!Q36+'Dec 2022'!P36</f>
        <v>19.29</v>
      </c>
      <c r="R36" s="1">
        <v>0</v>
      </c>
      <c r="S36" s="1">
        <f>'Nov 2022'!S36+'Dec 2022'!R36</f>
        <v>0</v>
      </c>
      <c r="T36" s="117">
        <f t="shared" si="2"/>
        <v>36.379999999999995</v>
      </c>
      <c r="U36" s="1">
        <f t="shared" si="3"/>
        <v>3712.9300000000003</v>
      </c>
    </row>
    <row r="37" spans="1:23" s="7" customFormat="1" ht="38.25" customHeight="1">
      <c r="A37" s="123">
        <v>24</v>
      </c>
      <c r="B37" s="126" t="s">
        <v>42</v>
      </c>
      <c r="C37" s="1">
        <f>'Nov 2022'!H37</f>
        <v>5018.9199999999983</v>
      </c>
      <c r="D37" s="96">
        <f>9.72+46.02</f>
        <v>55.74</v>
      </c>
      <c r="E37" s="1">
        <f>'Nov 2022'!E37+'Dec 2022'!D37</f>
        <v>286.54000000000002</v>
      </c>
      <c r="F37" s="1">
        <v>0</v>
      </c>
      <c r="G37" s="1">
        <f>'Nov 2022'!G37+'Dec 2022'!F37</f>
        <v>0</v>
      </c>
      <c r="H37" s="1">
        <f t="shared" si="0"/>
        <v>5074.659999999998</v>
      </c>
      <c r="I37" s="1">
        <f>'Nov 2022'!N37</f>
        <v>26.700000000000003</v>
      </c>
      <c r="J37" s="1">
        <v>0</v>
      </c>
      <c r="K37" s="1">
        <f>'Nov 2022'!K37+'Dec 2022'!J37</f>
        <v>14.27</v>
      </c>
      <c r="L37" s="1">
        <v>0</v>
      </c>
      <c r="M37" s="1">
        <f>'Nov 2022'!M37+'Dec 2022'!L37</f>
        <v>1.06</v>
      </c>
      <c r="N37" s="117">
        <f t="shared" si="1"/>
        <v>26.700000000000003</v>
      </c>
      <c r="O37" s="1">
        <f>'Nov 2022'!T37</f>
        <v>3.0599999999999996</v>
      </c>
      <c r="P37" s="1">
        <v>0</v>
      </c>
      <c r="Q37" s="1">
        <f>'Nov 2022'!Q37+'Dec 2022'!P37</f>
        <v>0</v>
      </c>
      <c r="R37" s="1">
        <v>0</v>
      </c>
      <c r="S37" s="1">
        <f>'Nov 2022'!S37+'Dec 2022'!R37</f>
        <v>3.46</v>
      </c>
      <c r="T37" s="117">
        <f t="shared" si="2"/>
        <v>3.0599999999999996</v>
      </c>
      <c r="U37" s="1">
        <f t="shared" si="3"/>
        <v>5104.4199999999983</v>
      </c>
    </row>
    <row r="38" spans="1:23" s="7" customFormat="1" ht="38.25" customHeight="1">
      <c r="A38" s="122"/>
      <c r="B38" s="105" t="s">
        <v>43</v>
      </c>
      <c r="C38" s="2">
        <f>SUM(C34:C37)</f>
        <v>19712.149999999994</v>
      </c>
      <c r="D38" s="2">
        <f t="shared" ref="D38:U38" si="11">SUM(D34:D37)</f>
        <v>166.06</v>
      </c>
      <c r="E38" s="2">
        <f t="shared" si="11"/>
        <v>1000.2</v>
      </c>
      <c r="F38" s="2">
        <f t="shared" si="11"/>
        <v>0</v>
      </c>
      <c r="G38" s="2">
        <f t="shared" si="11"/>
        <v>9.89</v>
      </c>
      <c r="H38" s="2">
        <f t="shared" si="11"/>
        <v>19878.209999999992</v>
      </c>
      <c r="I38" s="2">
        <f t="shared" si="11"/>
        <v>197.87</v>
      </c>
      <c r="J38" s="2">
        <f t="shared" si="11"/>
        <v>0.6</v>
      </c>
      <c r="K38" s="2">
        <f t="shared" si="11"/>
        <v>154.07</v>
      </c>
      <c r="L38" s="2">
        <f t="shared" si="11"/>
        <v>0</v>
      </c>
      <c r="M38" s="2">
        <f t="shared" si="11"/>
        <v>5.6899999999999995</v>
      </c>
      <c r="N38" s="2">
        <f t="shared" si="11"/>
        <v>198.47000000000003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11"/>
        <v>202.94</v>
      </c>
      <c r="U38" s="2">
        <f t="shared" si="11"/>
        <v>20279.619999999995</v>
      </c>
    </row>
    <row r="39" spans="1:23" s="7" customFormat="1" ht="38.25" customHeight="1">
      <c r="A39" s="122"/>
      <c r="B39" s="125" t="s">
        <v>44</v>
      </c>
      <c r="C39" s="2">
        <f>C38+C33+C28</f>
        <v>42509.7958</v>
      </c>
      <c r="D39" s="2">
        <f t="shared" ref="D39:U39" si="12">D38+D33+D28</f>
        <v>232.65</v>
      </c>
      <c r="E39" s="2">
        <f t="shared" si="12"/>
        <v>1465.0080000000003</v>
      </c>
      <c r="F39" s="2">
        <f t="shared" si="12"/>
        <v>0</v>
      </c>
      <c r="G39" s="2">
        <f t="shared" si="12"/>
        <v>19.61</v>
      </c>
      <c r="H39" s="2">
        <f t="shared" si="12"/>
        <v>42742.445799999994</v>
      </c>
      <c r="I39" s="2">
        <f t="shared" si="12"/>
        <v>1407.1709999999998</v>
      </c>
      <c r="J39" s="2">
        <f t="shared" si="12"/>
        <v>27.48</v>
      </c>
      <c r="K39" s="2">
        <f t="shared" si="12"/>
        <v>308.36</v>
      </c>
      <c r="L39" s="2">
        <f t="shared" si="12"/>
        <v>0</v>
      </c>
      <c r="M39" s="2">
        <f t="shared" si="12"/>
        <v>5.6899999999999995</v>
      </c>
      <c r="N39" s="2">
        <f t="shared" si="12"/>
        <v>1434.6510000000001</v>
      </c>
      <c r="O39" s="2">
        <f t="shared" si="12"/>
        <v>392.81199999999995</v>
      </c>
      <c r="P39" s="2">
        <f t="shared" si="12"/>
        <v>0.15</v>
      </c>
      <c r="Q39" s="2">
        <f t="shared" si="12"/>
        <v>124.62</v>
      </c>
      <c r="R39" s="2">
        <f t="shared" si="12"/>
        <v>0</v>
      </c>
      <c r="S39" s="2">
        <f t="shared" si="12"/>
        <v>26.66</v>
      </c>
      <c r="T39" s="2">
        <f t="shared" si="12"/>
        <v>392.96199999999999</v>
      </c>
      <c r="U39" s="2">
        <f t="shared" si="12"/>
        <v>44570.058799999999</v>
      </c>
      <c r="V39" s="2">
        <f t="shared" ref="V39" si="13">V38+V33+V28</f>
        <v>0</v>
      </c>
      <c r="W39" s="2"/>
    </row>
    <row r="40" spans="1:23" ht="38.25" customHeight="1">
      <c r="A40" s="123">
        <v>25</v>
      </c>
      <c r="B40" s="126" t="s">
        <v>45</v>
      </c>
      <c r="C40" s="1">
        <f>'Nov 2022'!H40</f>
        <v>11765.473999999998</v>
      </c>
      <c r="D40" s="1">
        <v>22.26</v>
      </c>
      <c r="E40" s="1">
        <f>'Nov 2022'!E40+'Dec 2022'!D40</f>
        <v>397.29</v>
      </c>
      <c r="F40" s="1">
        <v>0</v>
      </c>
      <c r="G40" s="1">
        <f>'Nov 2022'!G40+'Dec 2022'!F40</f>
        <v>0</v>
      </c>
      <c r="H40" s="1">
        <f t="shared" si="0"/>
        <v>11787.733999999999</v>
      </c>
      <c r="I40" s="1">
        <f>'Nov 2022'!N40</f>
        <v>198.73</v>
      </c>
      <c r="J40" s="1">
        <v>0</v>
      </c>
      <c r="K40" s="1">
        <f>'Nov 2022'!K40+'Dec 2022'!J40</f>
        <v>0</v>
      </c>
      <c r="L40" s="1">
        <v>0</v>
      </c>
      <c r="M40" s="1">
        <f>'Nov 2022'!M40+'Dec 2022'!L40</f>
        <v>0</v>
      </c>
      <c r="N40" s="117">
        <f t="shared" si="1"/>
        <v>198.73</v>
      </c>
      <c r="O40" s="1">
        <f>'Nov 2022'!T40</f>
        <v>73.510000000000005</v>
      </c>
      <c r="P40" s="96">
        <v>11.14</v>
      </c>
      <c r="Q40" s="1">
        <f>'Nov 2022'!Q40+'Dec 2022'!P40</f>
        <v>84.65</v>
      </c>
      <c r="R40" s="1">
        <v>0</v>
      </c>
      <c r="S40" s="1">
        <f>'Nov 2022'!S40+'Dec 2022'!R40</f>
        <v>0</v>
      </c>
      <c r="T40" s="1">
        <f t="shared" si="2"/>
        <v>84.65</v>
      </c>
      <c r="U40" s="1">
        <f t="shared" si="3"/>
        <v>12071.113999999998</v>
      </c>
    </row>
    <row r="41" spans="1:23" ht="38.25" customHeight="1">
      <c r="A41" s="123">
        <v>26</v>
      </c>
      <c r="B41" s="126" t="s">
        <v>46</v>
      </c>
      <c r="C41" s="1">
        <f>'Nov 2022'!H41</f>
        <v>8206.1289999999935</v>
      </c>
      <c r="D41" s="1">
        <v>30.41</v>
      </c>
      <c r="E41" s="1">
        <f>'Nov 2022'!E41+'Dec 2022'!D41</f>
        <v>738.50200000000007</v>
      </c>
      <c r="F41" s="1">
        <v>0</v>
      </c>
      <c r="G41" s="1">
        <f>'Nov 2022'!G41+'Dec 2022'!F41</f>
        <v>0</v>
      </c>
      <c r="H41" s="1">
        <f t="shared" si="0"/>
        <v>8236.5389999999934</v>
      </c>
      <c r="I41" s="1">
        <f>'Nov 2022'!N41</f>
        <v>8.67</v>
      </c>
      <c r="J41" s="1">
        <v>0</v>
      </c>
      <c r="K41" s="1">
        <f>'Nov 2022'!K41+'Dec 2022'!J41</f>
        <v>0</v>
      </c>
      <c r="L41" s="1">
        <v>0</v>
      </c>
      <c r="M41" s="1">
        <f>'Nov 2022'!M41+'Dec 2022'!L41</f>
        <v>0</v>
      </c>
      <c r="N41" s="117">
        <f t="shared" si="1"/>
        <v>8.67</v>
      </c>
      <c r="O41" s="1">
        <f>'Nov 2022'!T41</f>
        <v>82.42</v>
      </c>
      <c r="P41" s="96">
        <f>19.62+11.23</f>
        <v>30.85</v>
      </c>
      <c r="Q41" s="1">
        <f>'Nov 2022'!Q41+'Dec 2022'!P41</f>
        <v>113.27000000000001</v>
      </c>
      <c r="R41" s="1">
        <v>0</v>
      </c>
      <c r="S41" s="1">
        <f>'Nov 2022'!S41+'Dec 2022'!R41</f>
        <v>0</v>
      </c>
      <c r="T41" s="1">
        <f t="shared" si="2"/>
        <v>113.27000000000001</v>
      </c>
      <c r="U41" s="1">
        <f t="shared" si="3"/>
        <v>8358.4789999999939</v>
      </c>
    </row>
    <row r="42" spans="1:23" s="7" customFormat="1" ht="38.25" customHeight="1">
      <c r="A42" s="123">
        <v>27</v>
      </c>
      <c r="B42" s="126" t="s">
        <v>47</v>
      </c>
      <c r="C42" s="1">
        <f>'Nov 2022'!H42</f>
        <v>13877.848999999995</v>
      </c>
      <c r="D42" s="1">
        <v>9.5399999999999991</v>
      </c>
      <c r="E42" s="1">
        <f>'Nov 2022'!E42+'Dec 2022'!D42</f>
        <v>81.950000000000017</v>
      </c>
      <c r="F42" s="1">
        <v>0</v>
      </c>
      <c r="G42" s="1">
        <f>'Nov 2022'!G42+'Dec 2022'!F42</f>
        <v>0</v>
      </c>
      <c r="H42" s="1">
        <f t="shared" si="0"/>
        <v>13887.388999999996</v>
      </c>
      <c r="I42" s="1">
        <f>'Nov 2022'!N42</f>
        <v>15.62</v>
      </c>
      <c r="J42" s="1">
        <v>0</v>
      </c>
      <c r="K42" s="1">
        <f>'Nov 2022'!K42+'Dec 2022'!J42</f>
        <v>0</v>
      </c>
      <c r="L42" s="1">
        <v>0</v>
      </c>
      <c r="M42" s="1">
        <f>'Nov 2022'!M42+'Dec 2022'!L42</f>
        <v>0</v>
      </c>
      <c r="N42" s="117">
        <f t="shared" si="1"/>
        <v>15.62</v>
      </c>
      <c r="O42" s="1">
        <f>'Nov 2022'!T42</f>
        <v>122.77</v>
      </c>
      <c r="P42" s="96">
        <v>27.52</v>
      </c>
      <c r="Q42" s="1">
        <f>'Nov 2022'!Q42+'Dec 2022'!P42</f>
        <v>111.27</v>
      </c>
      <c r="R42" s="1">
        <v>0</v>
      </c>
      <c r="S42" s="1">
        <f>'Nov 2022'!S42+'Dec 2022'!R42</f>
        <v>0</v>
      </c>
      <c r="T42" s="1">
        <f t="shared" si="2"/>
        <v>150.29</v>
      </c>
      <c r="U42" s="1">
        <f t="shared" si="3"/>
        <v>14053.298999999997</v>
      </c>
    </row>
    <row r="43" spans="1:23" ht="38.25" customHeight="1">
      <c r="A43" s="123">
        <v>28</v>
      </c>
      <c r="B43" s="126" t="s">
        <v>48</v>
      </c>
      <c r="C43" s="1">
        <f>'Nov 2022'!H43</f>
        <v>4111.0000000000009</v>
      </c>
      <c r="D43" s="1">
        <v>5.62</v>
      </c>
      <c r="E43" s="1">
        <f>'Nov 2022'!E43+'Dec 2022'!D43</f>
        <v>149.14000000000001</v>
      </c>
      <c r="F43" s="1">
        <v>0</v>
      </c>
      <c r="G43" s="1">
        <f>'Nov 2022'!G43+'Dec 2022'!F43</f>
        <v>0</v>
      </c>
      <c r="H43" s="1">
        <f t="shared" si="0"/>
        <v>4116.6200000000008</v>
      </c>
      <c r="I43" s="1">
        <f>'Nov 2022'!N43</f>
        <v>3.5</v>
      </c>
      <c r="J43" s="1">
        <v>0</v>
      </c>
      <c r="K43" s="1">
        <f>'Nov 2022'!K43+'Dec 2022'!J43</f>
        <v>0</v>
      </c>
      <c r="L43" s="1">
        <v>0</v>
      </c>
      <c r="M43" s="1">
        <f>'Nov 2022'!M43+'Dec 2022'!L43</f>
        <v>0</v>
      </c>
      <c r="N43" s="117">
        <f t="shared" si="1"/>
        <v>3.5</v>
      </c>
      <c r="O43" s="1">
        <f>'Nov 2022'!T43</f>
        <v>29.8</v>
      </c>
      <c r="P43" s="1">
        <v>0</v>
      </c>
      <c r="Q43" s="1">
        <f>'Nov 2022'!Q43+'Dec 2022'!P43</f>
        <v>29.8</v>
      </c>
      <c r="R43" s="1">
        <v>0</v>
      </c>
      <c r="S43" s="1">
        <f>'Nov 2022'!S43+'Dec 2022'!R43</f>
        <v>0</v>
      </c>
      <c r="T43" s="117">
        <f t="shared" si="2"/>
        <v>29.8</v>
      </c>
      <c r="U43" s="1">
        <f t="shared" si="3"/>
        <v>4149.920000000001</v>
      </c>
    </row>
    <row r="44" spans="1:23" s="7" customFormat="1" ht="38.25" customHeight="1">
      <c r="A44" s="122"/>
      <c r="B44" s="105" t="s">
        <v>49</v>
      </c>
      <c r="C44" s="2">
        <f>SUM(C40:C43)</f>
        <v>37960.45199999999</v>
      </c>
      <c r="D44" s="2">
        <f t="shared" ref="D44:U44" si="14">SUM(D40:D43)</f>
        <v>67.83</v>
      </c>
      <c r="E44" s="2">
        <f t="shared" si="14"/>
        <v>1366.8820000000003</v>
      </c>
      <c r="F44" s="2">
        <f t="shared" si="14"/>
        <v>0</v>
      </c>
      <c r="G44" s="2">
        <f t="shared" si="14"/>
        <v>0</v>
      </c>
      <c r="H44" s="2">
        <f t="shared" si="14"/>
        <v>38028.281999999992</v>
      </c>
      <c r="I44" s="2">
        <f t="shared" si="14"/>
        <v>226.51999999999998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">
        <f t="shared" si="14"/>
        <v>226.51999999999998</v>
      </c>
      <c r="O44" s="2">
        <f t="shared" si="14"/>
        <v>308.5</v>
      </c>
      <c r="P44" s="2">
        <f t="shared" si="14"/>
        <v>69.510000000000005</v>
      </c>
      <c r="Q44" s="2">
        <f t="shared" si="14"/>
        <v>338.99</v>
      </c>
      <c r="R44" s="2">
        <f t="shared" si="14"/>
        <v>0</v>
      </c>
      <c r="S44" s="2">
        <f t="shared" si="14"/>
        <v>0</v>
      </c>
      <c r="T44" s="2">
        <f t="shared" si="14"/>
        <v>378.01000000000005</v>
      </c>
      <c r="U44" s="2">
        <f t="shared" si="14"/>
        <v>38632.811999999991</v>
      </c>
    </row>
    <row r="45" spans="1:23" ht="38.25" customHeight="1">
      <c r="A45" s="123">
        <v>29</v>
      </c>
      <c r="B45" s="126" t="s">
        <v>50</v>
      </c>
      <c r="C45" s="1">
        <f>'Nov 2022'!H45</f>
        <v>8183.2421000000004</v>
      </c>
      <c r="D45" s="1">
        <v>85.3</v>
      </c>
      <c r="E45" s="1">
        <f>'Nov 2022'!E45+'Dec 2022'!D45</f>
        <v>216.56</v>
      </c>
      <c r="F45" s="1">
        <v>0</v>
      </c>
      <c r="G45" s="1">
        <f>'Nov 2022'!G45+'Dec 2022'!F45</f>
        <v>0</v>
      </c>
      <c r="H45" s="117">
        <f t="shared" si="0"/>
        <v>8268.5421000000006</v>
      </c>
      <c r="I45" s="1">
        <f>'Nov 2022'!N45</f>
        <v>260.32</v>
      </c>
      <c r="J45" s="1">
        <v>0.59</v>
      </c>
      <c r="K45" s="1">
        <f>'Nov 2022'!K45+'Dec 2022'!J45</f>
        <v>218.98999999999998</v>
      </c>
      <c r="L45" s="1">
        <v>0</v>
      </c>
      <c r="M45" s="1">
        <f>'Nov 2022'!M45+'Dec 2022'!L45</f>
        <v>0</v>
      </c>
      <c r="N45" s="117">
        <f t="shared" si="1"/>
        <v>260.90999999999997</v>
      </c>
      <c r="O45" s="1">
        <f>'Nov 2022'!T45</f>
        <v>84.22</v>
      </c>
      <c r="P45" s="1">
        <v>0.05</v>
      </c>
      <c r="Q45" s="1">
        <f>'Nov 2022'!Q45+'Dec 2022'!P45</f>
        <v>69.52</v>
      </c>
      <c r="R45" s="1">
        <v>0</v>
      </c>
      <c r="S45" s="1">
        <f>'Nov 2022'!S45+'Dec 2022'!R45</f>
        <v>0</v>
      </c>
      <c r="T45" s="117">
        <f t="shared" si="2"/>
        <v>84.27</v>
      </c>
      <c r="U45" s="1">
        <f t="shared" si="3"/>
        <v>8613.7221000000009</v>
      </c>
    </row>
    <row r="46" spans="1:23" ht="38.25" customHeight="1">
      <c r="A46" s="123">
        <v>30</v>
      </c>
      <c r="B46" s="126" t="s">
        <v>51</v>
      </c>
      <c r="C46" s="1">
        <f>'Nov 2022'!H46</f>
        <v>7791.2850000000026</v>
      </c>
      <c r="D46" s="1">
        <v>33.479999999999997</v>
      </c>
      <c r="E46" s="1">
        <f>'Nov 2022'!E46+'Dec 2022'!D46</f>
        <v>86.27</v>
      </c>
      <c r="F46" s="1">
        <v>0</v>
      </c>
      <c r="G46" s="1">
        <f>'Nov 2022'!G46+'Dec 2022'!F46</f>
        <v>0</v>
      </c>
      <c r="H46" s="117">
        <f t="shared" si="0"/>
        <v>7824.7650000000021</v>
      </c>
      <c r="I46" s="1">
        <f>'Nov 2022'!N46</f>
        <v>0</v>
      </c>
      <c r="J46" s="1">
        <v>0</v>
      </c>
      <c r="K46" s="1">
        <f>'Nov 2022'!K46+'Dec 2022'!J46</f>
        <v>0</v>
      </c>
      <c r="L46" s="1">
        <v>0</v>
      </c>
      <c r="M46" s="1">
        <f>'Nov 2022'!M46+'Dec 2022'!L46</f>
        <v>0</v>
      </c>
      <c r="N46" s="117">
        <f t="shared" si="1"/>
        <v>0</v>
      </c>
      <c r="O46" s="1">
        <f>'Nov 2022'!T46</f>
        <v>47.03</v>
      </c>
      <c r="P46" s="1">
        <v>0</v>
      </c>
      <c r="Q46" s="1">
        <f>'Nov 2022'!Q46+'Dec 2022'!P46</f>
        <v>47.03</v>
      </c>
      <c r="R46" s="1">
        <v>0</v>
      </c>
      <c r="S46" s="1">
        <f>'Nov 2022'!S46+'Dec 2022'!R46</f>
        <v>0</v>
      </c>
      <c r="T46" s="117">
        <f t="shared" si="2"/>
        <v>47.03</v>
      </c>
      <c r="U46" s="1">
        <f t="shared" si="3"/>
        <v>7871.7950000000019</v>
      </c>
    </row>
    <row r="47" spans="1:23" s="7" customFormat="1" ht="38.25" customHeight="1">
      <c r="A47" s="123">
        <v>31</v>
      </c>
      <c r="B47" s="126" t="s">
        <v>52</v>
      </c>
      <c r="C47" s="1">
        <f>'Nov 2022'!H47</f>
        <v>8935.1099999999988</v>
      </c>
      <c r="D47" s="1">
        <v>4.46</v>
      </c>
      <c r="E47" s="1">
        <f>'Nov 2022'!E47+'Dec 2022'!D47</f>
        <v>154.93000000000004</v>
      </c>
      <c r="F47" s="1">
        <v>0</v>
      </c>
      <c r="G47" s="1">
        <f>'Nov 2022'!G47+'Dec 2022'!F47</f>
        <v>0</v>
      </c>
      <c r="H47" s="117">
        <f t="shared" si="0"/>
        <v>8939.5699999999979</v>
      </c>
      <c r="I47" s="1">
        <f>'Nov 2022'!N47</f>
        <v>3.13</v>
      </c>
      <c r="J47" s="1">
        <v>0</v>
      </c>
      <c r="K47" s="1">
        <f>'Nov 2022'!K47+'Dec 2022'!J47</f>
        <v>0</v>
      </c>
      <c r="L47" s="1">
        <v>0</v>
      </c>
      <c r="M47" s="1">
        <f>'Nov 2022'!M47+'Dec 2022'!L47</f>
        <v>0</v>
      </c>
      <c r="N47" s="117">
        <f t="shared" si="1"/>
        <v>3.13</v>
      </c>
      <c r="O47" s="1">
        <f>'Nov 2022'!T47</f>
        <v>118.94999999999999</v>
      </c>
      <c r="P47" s="1">
        <v>0</v>
      </c>
      <c r="Q47" s="1">
        <f>'Nov 2022'!Q47+'Dec 2022'!P47</f>
        <v>118.91999999999999</v>
      </c>
      <c r="R47" s="1">
        <v>0</v>
      </c>
      <c r="S47" s="1">
        <f>'Nov 2022'!S47+'Dec 2022'!R47</f>
        <v>0</v>
      </c>
      <c r="T47" s="117">
        <f t="shared" si="2"/>
        <v>118.94999999999999</v>
      </c>
      <c r="U47" s="1">
        <f t="shared" si="3"/>
        <v>9061.6499999999978</v>
      </c>
    </row>
    <row r="48" spans="1:23" s="7" customFormat="1" ht="38.25" customHeight="1">
      <c r="A48" s="123">
        <v>32</v>
      </c>
      <c r="B48" s="126" t="s">
        <v>53</v>
      </c>
      <c r="C48" s="1">
        <f>'Nov 2022'!H48</f>
        <v>8586.6989999999987</v>
      </c>
      <c r="D48" s="1">
        <v>2.66</v>
      </c>
      <c r="E48" s="1">
        <f>'Nov 2022'!E48+'Dec 2022'!D48</f>
        <v>392.57</v>
      </c>
      <c r="F48" s="1">
        <v>0</v>
      </c>
      <c r="G48" s="1">
        <f>'Nov 2022'!G48+'Dec 2022'!F48</f>
        <v>0</v>
      </c>
      <c r="H48" s="117">
        <f t="shared" si="0"/>
        <v>8589.3589999999986</v>
      </c>
      <c r="I48" s="1">
        <f>'Nov 2022'!N48</f>
        <v>5.0249999999999995</v>
      </c>
      <c r="J48" s="1">
        <v>0</v>
      </c>
      <c r="K48" s="1">
        <f>'Nov 2022'!K48+'Dec 2022'!J48</f>
        <v>0</v>
      </c>
      <c r="L48" s="1">
        <v>0</v>
      </c>
      <c r="M48" s="1">
        <f>'Nov 2022'!M48+'Dec 2022'!L48</f>
        <v>0</v>
      </c>
      <c r="N48" s="117">
        <f t="shared" si="1"/>
        <v>5.0249999999999995</v>
      </c>
      <c r="O48" s="1">
        <f>'Nov 2022'!T48</f>
        <v>4.21</v>
      </c>
      <c r="P48" s="1">
        <v>0</v>
      </c>
      <c r="Q48" s="1">
        <f>'Nov 2022'!Q48+'Dec 2022'!P48</f>
        <v>4.21</v>
      </c>
      <c r="R48" s="1">
        <v>0</v>
      </c>
      <c r="S48" s="1">
        <f>'Nov 2022'!S48+'Dec 2022'!R48</f>
        <v>0</v>
      </c>
      <c r="T48" s="117">
        <f t="shared" si="2"/>
        <v>4.21</v>
      </c>
      <c r="U48" s="1">
        <f t="shared" si="3"/>
        <v>8598.5939999999973</v>
      </c>
    </row>
    <row r="49" spans="1:21" s="7" customFormat="1" ht="38.25" customHeight="1">
      <c r="A49" s="122"/>
      <c r="B49" s="105" t="s">
        <v>54</v>
      </c>
      <c r="C49" s="2">
        <f>SUM(C45:C48)</f>
        <v>33496.3361</v>
      </c>
      <c r="D49" s="2">
        <f t="shared" ref="D49:U49" si="15">SUM(D45:D48)</f>
        <v>125.89999999999999</v>
      </c>
      <c r="E49" s="2">
        <f t="shared" si="15"/>
        <v>850.32999999999993</v>
      </c>
      <c r="F49" s="2">
        <f t="shared" si="15"/>
        <v>0</v>
      </c>
      <c r="G49" s="2">
        <f t="shared" si="15"/>
        <v>0</v>
      </c>
      <c r="H49" s="2">
        <f t="shared" si="15"/>
        <v>33622.236099999995</v>
      </c>
      <c r="I49" s="2">
        <f t="shared" si="15"/>
        <v>268.47499999999997</v>
      </c>
      <c r="J49" s="2">
        <f t="shared" si="15"/>
        <v>0.59</v>
      </c>
      <c r="K49" s="2">
        <f t="shared" si="15"/>
        <v>218.98999999999998</v>
      </c>
      <c r="L49" s="2">
        <f t="shared" si="15"/>
        <v>0</v>
      </c>
      <c r="M49" s="2">
        <f t="shared" si="15"/>
        <v>0</v>
      </c>
      <c r="N49" s="2">
        <f t="shared" si="15"/>
        <v>269.06499999999994</v>
      </c>
      <c r="O49" s="2">
        <f t="shared" si="15"/>
        <v>254.41</v>
      </c>
      <c r="P49" s="2">
        <f t="shared" si="15"/>
        <v>0.05</v>
      </c>
      <c r="Q49" s="2">
        <f t="shared" si="15"/>
        <v>239.67999999999998</v>
      </c>
      <c r="R49" s="2">
        <f t="shared" si="15"/>
        <v>0</v>
      </c>
      <c r="S49" s="2">
        <f t="shared" si="15"/>
        <v>0</v>
      </c>
      <c r="T49" s="2">
        <f t="shared" si="15"/>
        <v>254.46</v>
      </c>
      <c r="U49" s="2">
        <f t="shared" si="15"/>
        <v>34145.761100000003</v>
      </c>
    </row>
    <row r="50" spans="1:21" s="7" customFormat="1" ht="38.25" customHeight="1">
      <c r="A50" s="122"/>
      <c r="B50" s="125" t="s">
        <v>55</v>
      </c>
      <c r="C50" s="2">
        <f>C49+C44</f>
        <v>71456.788099999991</v>
      </c>
      <c r="D50" s="2">
        <f t="shared" ref="D50:U50" si="16">D49+D44</f>
        <v>193.73</v>
      </c>
      <c r="E50" s="2">
        <f t="shared" si="16"/>
        <v>2217.2120000000004</v>
      </c>
      <c r="F50" s="2">
        <f t="shared" si="16"/>
        <v>0</v>
      </c>
      <c r="G50" s="2">
        <f t="shared" si="16"/>
        <v>0</v>
      </c>
      <c r="H50" s="2">
        <f t="shared" si="16"/>
        <v>71650.518099999987</v>
      </c>
      <c r="I50" s="2">
        <f t="shared" si="16"/>
        <v>494.99499999999995</v>
      </c>
      <c r="J50" s="2">
        <f t="shared" si="16"/>
        <v>0.59</v>
      </c>
      <c r="K50" s="2">
        <f t="shared" si="16"/>
        <v>218.98999999999998</v>
      </c>
      <c r="L50" s="2">
        <f t="shared" si="16"/>
        <v>0</v>
      </c>
      <c r="M50" s="2">
        <f t="shared" si="16"/>
        <v>0</v>
      </c>
      <c r="N50" s="2">
        <f t="shared" si="16"/>
        <v>495.58499999999992</v>
      </c>
      <c r="O50" s="2">
        <f t="shared" si="16"/>
        <v>562.91</v>
      </c>
      <c r="P50" s="2">
        <f t="shared" si="16"/>
        <v>69.56</v>
      </c>
      <c r="Q50" s="2">
        <f t="shared" si="16"/>
        <v>578.66999999999996</v>
      </c>
      <c r="R50" s="2">
        <f t="shared" si="16"/>
        <v>0</v>
      </c>
      <c r="S50" s="2">
        <f t="shared" si="16"/>
        <v>0</v>
      </c>
      <c r="T50" s="2">
        <f t="shared" si="16"/>
        <v>632.47</v>
      </c>
      <c r="U50" s="2">
        <f t="shared" si="16"/>
        <v>72778.573099999994</v>
      </c>
    </row>
    <row r="51" spans="1:21" s="7" customFormat="1" ht="38.25" customHeight="1">
      <c r="A51" s="122"/>
      <c r="B51" s="125" t="s">
        <v>56</v>
      </c>
      <c r="C51" s="2">
        <f>C50+C39+C25</f>
        <v>118132.4099</v>
      </c>
      <c r="D51" s="2">
        <f t="shared" ref="D51:U51" si="17">D50+D39+D25</f>
        <v>426.99</v>
      </c>
      <c r="E51" s="2">
        <f t="shared" si="17"/>
        <v>3694.4400000000005</v>
      </c>
      <c r="F51" s="2">
        <f t="shared" si="17"/>
        <v>11.23</v>
      </c>
      <c r="G51" s="2">
        <f t="shared" si="17"/>
        <v>563.98</v>
      </c>
      <c r="H51" s="2">
        <f t="shared" si="17"/>
        <v>118548.16989999998</v>
      </c>
      <c r="I51" s="2">
        <f t="shared" si="17"/>
        <v>10372.378000000001</v>
      </c>
      <c r="J51" s="2">
        <f t="shared" si="17"/>
        <v>74.849999999999994</v>
      </c>
      <c r="K51" s="2">
        <f t="shared" si="17"/>
        <v>1861.2939999999999</v>
      </c>
      <c r="L51" s="2">
        <f t="shared" si="17"/>
        <v>0</v>
      </c>
      <c r="M51" s="2">
        <f t="shared" si="17"/>
        <v>7.85</v>
      </c>
      <c r="N51" s="2">
        <f t="shared" si="17"/>
        <v>10447.227999999999</v>
      </c>
      <c r="O51" s="2">
        <f t="shared" si="17"/>
        <v>1527.27</v>
      </c>
      <c r="P51" s="2">
        <f t="shared" si="17"/>
        <v>69.710000000000008</v>
      </c>
      <c r="Q51" s="2">
        <f t="shared" si="17"/>
        <v>705.65</v>
      </c>
      <c r="R51" s="2">
        <f t="shared" si="17"/>
        <v>2.42</v>
      </c>
      <c r="S51" s="2">
        <f t="shared" si="17"/>
        <v>52.57</v>
      </c>
      <c r="T51" s="2">
        <f t="shared" si="17"/>
        <v>1594.56</v>
      </c>
      <c r="U51" s="2">
        <f t="shared" si="17"/>
        <v>130589.95789999999</v>
      </c>
    </row>
    <row r="52" spans="1:21" s="7" customFormat="1" ht="28.5" customHeight="1">
      <c r="A52" s="18"/>
      <c r="B52" s="27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120"/>
      <c r="J53" s="120">
        <f>D51+J51+P51-F51-L51-R51</f>
        <v>557.90000000000009</v>
      </c>
      <c r="K53" s="120"/>
      <c r="L53" s="120"/>
      <c r="M53" s="120"/>
      <c r="N53" s="120"/>
      <c r="R53" s="120"/>
      <c r="U53" s="120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120"/>
      <c r="J54" s="120">
        <f>E51+K51+Q51-G51-M51-S51</f>
        <v>5636.9840000000004</v>
      </c>
      <c r="K54" s="120"/>
      <c r="L54" s="120"/>
      <c r="M54" s="120"/>
      <c r="N54" s="120"/>
      <c r="R54" s="120"/>
      <c r="T54" s="120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130589.95789999998</v>
      </c>
      <c r="K55" s="4"/>
      <c r="L55" s="4"/>
      <c r="M55" s="78"/>
      <c r="N55" s="4"/>
      <c r="P55" s="18"/>
      <c r="Q55" s="20"/>
      <c r="U55" s="20"/>
    </row>
    <row r="56" spans="1:21" ht="33" customHeight="1">
      <c r="C56" s="21"/>
      <c r="D56" s="120"/>
      <c r="E56" s="120"/>
      <c r="F56" s="120"/>
      <c r="G56" s="120"/>
      <c r="H56" s="4"/>
      <c r="I56" s="19"/>
      <c r="J56" s="120"/>
      <c r="K56" s="4"/>
      <c r="L56" s="61"/>
      <c r="M56" s="4"/>
      <c r="N56" s="11">
        <f>'[1]sep 2020 '!J56+'Dec 2022'!J53</f>
        <v>117308.81089999998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2021'!J55+'Dec 2022'!J53</f>
        <v>120774.41889999999</v>
      </c>
      <c r="N57" s="7"/>
      <c r="O57" s="3"/>
      <c r="P57" s="121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119"/>
      <c r="L58" s="10"/>
      <c r="M58" s="7"/>
      <c r="N58" s="29">
        <f>'[2]July 2021'!J55+'Dec 2022'!J53</f>
        <v>121563.16989999998</v>
      </c>
      <c r="O58" s="29">
        <f>'[2]April 2021'!J55+'Dec 2022'!J53</f>
        <v>120774.41889999999</v>
      </c>
      <c r="P58" s="121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2021'!J55+'Dec 2022'!J53</f>
        <v>120253.60789999999</v>
      </c>
      <c r="J59" s="143" t="s">
        <v>63</v>
      </c>
      <c r="K59" s="143"/>
      <c r="L59" s="143"/>
      <c r="M59" s="11" t="e">
        <f>#REF!+'Dec 2022'!J53</f>
        <v>#REF!</v>
      </c>
      <c r="N59" s="4"/>
    </row>
    <row r="60" spans="1:21" ht="37.5" customHeight="1">
      <c r="G60" s="4"/>
      <c r="H60" s="11">
        <f>H51+N51+T51</f>
        <v>130589.95789999998</v>
      </c>
      <c r="J60" s="143" t="s">
        <v>64</v>
      </c>
      <c r="K60" s="143"/>
      <c r="L60" s="143"/>
      <c r="M60" s="11" t="e">
        <f>#REF!+'Dec 2022'!J53</f>
        <v>#REF!</v>
      </c>
      <c r="O60" s="78"/>
    </row>
    <row r="61" spans="1:21">
      <c r="H61" s="23"/>
    </row>
    <row r="62" spans="1:21">
      <c r="G62" s="4"/>
      <c r="H62" s="11">
        <f>'[1]nov 2020'!J56+'Dec 2022'!J53</f>
        <v>119172.75089999998</v>
      </c>
      <c r="I62" s="24"/>
      <c r="J62" s="23"/>
    </row>
    <row r="63" spans="1:21">
      <c r="H63" s="11">
        <f>'[1]nov 2020'!J56+'Dec 2022'!J53</f>
        <v>119172.75089999998</v>
      </c>
      <c r="I63" s="30">
        <f>'[2]June 2021)'!J55+'Dec 2022'!J53</f>
        <v>121234.3989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8"/>
  <sheetViews>
    <sheetView tabSelected="1" topLeftCell="E1" zoomScale="39" zoomScaleNormal="39" workbookViewId="0">
      <pane ySplit="6" topLeftCell="A37" activePane="bottomLeft" state="frozen"/>
      <selection pane="bottomLeft" activeCell="O53" sqref="O53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34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82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131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130" t="s">
        <v>11</v>
      </c>
      <c r="E6" s="130" t="s">
        <v>12</v>
      </c>
      <c r="F6" s="130" t="s">
        <v>11</v>
      </c>
      <c r="G6" s="130" t="s">
        <v>12</v>
      </c>
      <c r="H6" s="135"/>
      <c r="I6" s="138"/>
      <c r="J6" s="130" t="s">
        <v>11</v>
      </c>
      <c r="K6" s="130" t="s">
        <v>12</v>
      </c>
      <c r="L6" s="130" t="s">
        <v>11</v>
      </c>
      <c r="M6" s="130" t="s">
        <v>12</v>
      </c>
      <c r="N6" s="135"/>
      <c r="O6" s="138"/>
      <c r="P6" s="130" t="s">
        <v>11</v>
      </c>
      <c r="Q6" s="130" t="s">
        <v>12</v>
      </c>
      <c r="R6" s="130" t="s">
        <v>11</v>
      </c>
      <c r="S6" s="130" t="s">
        <v>12</v>
      </c>
      <c r="T6" s="135"/>
      <c r="U6" s="135"/>
    </row>
    <row r="7" spans="1:21" ht="38.25" customHeight="1">
      <c r="A7" s="131">
        <v>1</v>
      </c>
      <c r="B7" s="133" t="s">
        <v>13</v>
      </c>
      <c r="C7" s="1">
        <f>'Dec 2022'!H7</f>
        <v>7.179999999999982</v>
      </c>
      <c r="D7" s="1">
        <v>0</v>
      </c>
      <c r="E7" s="1">
        <f>'Dec 2022'!E7+'Jan 2023'!D7</f>
        <v>0</v>
      </c>
      <c r="F7" s="1">
        <v>0</v>
      </c>
      <c r="G7" s="1">
        <f>'Dec 2022'!G7+'Jan 2023'!F7</f>
        <v>82.86</v>
      </c>
      <c r="H7" s="1">
        <f>C7+D7-F7</f>
        <v>7.179999999999982</v>
      </c>
      <c r="I7" s="1">
        <f>'Dec 2022'!N7</f>
        <v>690.12599999999975</v>
      </c>
      <c r="J7" s="1">
        <v>6.77</v>
      </c>
      <c r="K7" s="1">
        <f>'Dec 2022'!K7+'Jan 2023'!J7</f>
        <v>112.67899999999999</v>
      </c>
      <c r="L7" s="1">
        <v>0</v>
      </c>
      <c r="M7" s="1">
        <f>'Dec 2022'!M7+'Jan 2023'!L7</f>
        <v>0</v>
      </c>
      <c r="N7" s="1">
        <f>I7+J7-L7</f>
        <v>696.89599999999973</v>
      </c>
      <c r="O7" s="1">
        <f>'Dec 2022'!T7</f>
        <v>8.436000000000007</v>
      </c>
      <c r="P7" s="1">
        <v>0</v>
      </c>
      <c r="Q7" s="1">
        <f>'Dec 2022'!Q7+'Jan 2023'!P7</f>
        <v>0</v>
      </c>
      <c r="R7" s="1">
        <v>0</v>
      </c>
      <c r="S7" s="1">
        <f>'Dec 2022'!S7+'Jan 2023'!R7</f>
        <v>1.01</v>
      </c>
      <c r="T7" s="1">
        <f>O7+P7-R7</f>
        <v>8.436000000000007</v>
      </c>
      <c r="U7" s="1">
        <f>H7+N7+T7</f>
        <v>712.51199999999972</v>
      </c>
    </row>
    <row r="8" spans="1:21" ht="38.25" customHeight="1">
      <c r="A8" s="131">
        <v>2</v>
      </c>
      <c r="B8" s="133" t="s">
        <v>14</v>
      </c>
      <c r="C8" s="1">
        <f>'Dec 2022'!H8</f>
        <v>265.39</v>
      </c>
      <c r="D8" s="1">
        <v>0.03</v>
      </c>
      <c r="E8" s="1">
        <f>'Dec 2022'!E8+'Jan 2023'!D8</f>
        <v>0.03</v>
      </c>
      <c r="F8" s="1">
        <v>0</v>
      </c>
      <c r="G8" s="1">
        <f>'Dec 2022'!G8+'Jan 2023'!F8</f>
        <v>0</v>
      </c>
      <c r="H8" s="1">
        <f t="shared" ref="H8:H48" si="0">C8+D8-F8</f>
        <v>265.41999999999996</v>
      </c>
      <c r="I8" s="1">
        <f>'Dec 2022'!N8</f>
        <v>376.17000000000007</v>
      </c>
      <c r="J8" s="1">
        <v>10.135999999999999</v>
      </c>
      <c r="K8" s="1">
        <f>'Dec 2022'!K8+'Jan 2023'!J8</f>
        <v>74.325999999999993</v>
      </c>
      <c r="L8" s="1">
        <v>0</v>
      </c>
      <c r="M8" s="1">
        <f>'Dec 2022'!M8+'Jan 2023'!L8</f>
        <v>0</v>
      </c>
      <c r="N8" s="1">
        <f t="shared" ref="N8:N48" si="1">I8+J8-L8</f>
        <v>386.3060000000001</v>
      </c>
      <c r="O8" s="1">
        <f>'Dec 2022'!T8</f>
        <v>66.290000000000006</v>
      </c>
      <c r="P8" s="1">
        <v>0</v>
      </c>
      <c r="Q8" s="1">
        <f>'Dec 2022'!Q8+'Jan 2023'!P8</f>
        <v>0</v>
      </c>
      <c r="R8" s="1">
        <v>0</v>
      </c>
      <c r="S8" s="1">
        <f>'Dec 2022'!S8+'Jan 2023'!R8</f>
        <v>0</v>
      </c>
      <c r="T8" s="1">
        <f t="shared" ref="T8:T48" si="2">O8+P8-R8</f>
        <v>66.290000000000006</v>
      </c>
      <c r="U8" s="1">
        <f t="shared" ref="U8:U48" si="3">H8+N8+T8</f>
        <v>718.01600000000008</v>
      </c>
    </row>
    <row r="9" spans="1:21" ht="38.25" customHeight="1">
      <c r="A9" s="131">
        <v>3</v>
      </c>
      <c r="B9" s="133" t="s">
        <v>15</v>
      </c>
      <c r="C9" s="1">
        <f>'Dec 2022'!H9</f>
        <v>209.16</v>
      </c>
      <c r="D9" s="1">
        <v>0</v>
      </c>
      <c r="E9" s="1">
        <f>'Dec 2022'!E9+'Jan 2023'!D9</f>
        <v>0</v>
      </c>
      <c r="F9" s="1">
        <v>0</v>
      </c>
      <c r="G9" s="1">
        <f>'Dec 2022'!G9+'Jan 2023'!F9</f>
        <v>0</v>
      </c>
      <c r="H9" s="1">
        <f t="shared" si="0"/>
        <v>209.16</v>
      </c>
      <c r="I9" s="1">
        <f>'Dec 2022'!N9</f>
        <v>879.44800000000009</v>
      </c>
      <c r="J9" s="1">
        <v>8.9</v>
      </c>
      <c r="K9" s="1">
        <f>'Dec 2022'!K9+'Jan 2023'!J9</f>
        <v>131.79999999999998</v>
      </c>
      <c r="L9" s="1">
        <v>0</v>
      </c>
      <c r="M9" s="1">
        <f>'Dec 2022'!M9+'Jan 2023'!L9</f>
        <v>0</v>
      </c>
      <c r="N9" s="1">
        <f t="shared" si="1"/>
        <v>888.34800000000007</v>
      </c>
      <c r="O9" s="1">
        <f>'Dec 2022'!T9</f>
        <v>44.739999999999995</v>
      </c>
      <c r="P9" s="1">
        <v>0</v>
      </c>
      <c r="Q9" s="1">
        <f>'Dec 2022'!Q9+'Jan 2023'!P9</f>
        <v>0</v>
      </c>
      <c r="R9" s="1">
        <v>0</v>
      </c>
      <c r="S9" s="1">
        <f>'Dec 2022'!S9+'Jan 2023'!R9</f>
        <v>0</v>
      </c>
      <c r="T9" s="1">
        <f t="shared" si="2"/>
        <v>44.739999999999995</v>
      </c>
      <c r="U9" s="1">
        <f t="shared" si="3"/>
        <v>1142.248</v>
      </c>
    </row>
    <row r="10" spans="1:21" s="7" customFormat="1" ht="38.25" customHeight="1">
      <c r="A10" s="131">
        <v>4</v>
      </c>
      <c r="B10" s="133" t="s">
        <v>16</v>
      </c>
      <c r="C10" s="1">
        <f>'Dec 2022'!H10</f>
        <v>0</v>
      </c>
      <c r="D10" s="1">
        <v>0</v>
      </c>
      <c r="E10" s="1">
        <f>'Dec 2022'!E10+'Jan 2023'!D10</f>
        <v>0</v>
      </c>
      <c r="F10" s="1">
        <v>0</v>
      </c>
      <c r="G10" s="1">
        <f>'Dec 2022'!G10+'Jan 2023'!F10</f>
        <v>0</v>
      </c>
      <c r="H10" s="1">
        <f t="shared" si="0"/>
        <v>0</v>
      </c>
      <c r="I10" s="1">
        <f>'Dec 2022'!N10</f>
        <v>351.77999999999992</v>
      </c>
      <c r="J10" s="1">
        <v>1.294</v>
      </c>
      <c r="K10" s="1">
        <f>'Dec 2022'!K10+'Jan 2023'!J10</f>
        <v>10.699000000000002</v>
      </c>
      <c r="L10" s="1">
        <v>0</v>
      </c>
      <c r="M10" s="1">
        <f>'Dec 2022'!M10+'Jan 2023'!L10</f>
        <v>0</v>
      </c>
      <c r="N10" s="1">
        <f t="shared" si="1"/>
        <v>353.0739999999999</v>
      </c>
      <c r="O10" s="1">
        <f>'Dec 2022'!T10</f>
        <v>0.20000000000000007</v>
      </c>
      <c r="P10" s="1">
        <v>0</v>
      </c>
      <c r="Q10" s="1">
        <f>'Dec 2022'!Q10+'Jan 2023'!P10</f>
        <v>0</v>
      </c>
      <c r="R10" s="1">
        <v>0</v>
      </c>
      <c r="S10" s="1">
        <f>'Dec 2022'!S10+'Jan 2023'!R10</f>
        <v>0</v>
      </c>
      <c r="T10" s="1">
        <f t="shared" si="2"/>
        <v>0.20000000000000007</v>
      </c>
      <c r="U10" s="1">
        <f t="shared" si="3"/>
        <v>353.27399999999989</v>
      </c>
    </row>
    <row r="11" spans="1:21" s="7" customFormat="1" ht="38.25" customHeight="1">
      <c r="A11" s="130"/>
      <c r="B11" s="132" t="s">
        <v>17</v>
      </c>
      <c r="C11" s="2">
        <f>SUM(C7:C10)</f>
        <v>481.73</v>
      </c>
      <c r="D11" s="2">
        <f t="shared" ref="D11:U11" si="4">SUM(D7:D10)</f>
        <v>0.03</v>
      </c>
      <c r="E11" s="2">
        <f t="shared" si="4"/>
        <v>0.03</v>
      </c>
      <c r="F11" s="2">
        <f t="shared" si="4"/>
        <v>0</v>
      </c>
      <c r="G11" s="2">
        <f t="shared" si="4"/>
        <v>82.86</v>
      </c>
      <c r="H11" s="2">
        <f t="shared" si="4"/>
        <v>481.76</v>
      </c>
      <c r="I11" s="2">
        <f t="shared" si="4"/>
        <v>2297.5239999999999</v>
      </c>
      <c r="J11" s="2">
        <f t="shared" si="4"/>
        <v>27.099999999999998</v>
      </c>
      <c r="K11" s="2">
        <f t="shared" si="4"/>
        <v>329.50399999999996</v>
      </c>
      <c r="L11" s="2">
        <f t="shared" si="4"/>
        <v>0</v>
      </c>
      <c r="M11" s="2">
        <f t="shared" si="4"/>
        <v>0</v>
      </c>
      <c r="N11" s="2">
        <f t="shared" si="4"/>
        <v>2324.6239999999998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2">
        <f t="shared" si="4"/>
        <v>119.66600000000001</v>
      </c>
      <c r="U11" s="2">
        <f t="shared" si="4"/>
        <v>2926.0499999999997</v>
      </c>
    </row>
    <row r="12" spans="1:21" ht="38.25" customHeight="1">
      <c r="A12" s="131">
        <v>5</v>
      </c>
      <c r="B12" s="133" t="s">
        <v>18</v>
      </c>
      <c r="C12" s="1">
        <f>'Dec 2022'!H12</f>
        <v>141.9999999999996</v>
      </c>
      <c r="D12" s="1">
        <v>0</v>
      </c>
      <c r="E12" s="1">
        <f>'Dec 2022'!E12+'Jan 2023'!D12</f>
        <v>0</v>
      </c>
      <c r="F12" s="1">
        <v>0</v>
      </c>
      <c r="G12" s="1">
        <f>'Dec 2022'!G12+'Jan 2023'!F12</f>
        <v>213.31</v>
      </c>
      <c r="H12" s="1">
        <f t="shared" si="0"/>
        <v>141.9999999999996</v>
      </c>
      <c r="I12" s="1">
        <f>'Dec 2022'!N12</f>
        <v>1154.1749999999997</v>
      </c>
      <c r="J12" s="31">
        <v>2.0699999999999998</v>
      </c>
      <c r="K12" s="1">
        <f>'Dec 2022'!K12+'Jan 2023'!J12</f>
        <v>245.49999999999997</v>
      </c>
      <c r="L12" s="1">
        <v>0</v>
      </c>
      <c r="M12" s="1">
        <f>'Dec 2022'!M12+'Jan 2023'!L12</f>
        <v>0</v>
      </c>
      <c r="N12" s="1">
        <f t="shared" si="1"/>
        <v>1156.2449999999997</v>
      </c>
      <c r="O12" s="1">
        <f>'Dec 2022'!T12</f>
        <v>20.730000000000011</v>
      </c>
      <c r="P12" s="1">
        <v>2.11</v>
      </c>
      <c r="Q12" s="1">
        <f>'Dec 2022'!Q12+'Jan 2023'!P12</f>
        <v>2.11</v>
      </c>
      <c r="R12" s="1">
        <v>0</v>
      </c>
      <c r="S12" s="1">
        <f>'Dec 2022'!S12+'Jan 2023'!R12</f>
        <v>16.12</v>
      </c>
      <c r="T12" s="1">
        <f t="shared" si="2"/>
        <v>22.840000000000011</v>
      </c>
      <c r="U12" s="1">
        <f t="shared" si="3"/>
        <v>1321.0849999999991</v>
      </c>
    </row>
    <row r="13" spans="1:21" ht="38.25" customHeight="1">
      <c r="A13" s="131">
        <v>6</v>
      </c>
      <c r="B13" s="133" t="s">
        <v>19</v>
      </c>
      <c r="C13" s="1">
        <f>'Dec 2022'!H13</f>
        <v>312.23000000000013</v>
      </c>
      <c r="D13" s="1">
        <v>0</v>
      </c>
      <c r="E13" s="1">
        <f>'Dec 2022'!E13+'Jan 2023'!D13</f>
        <v>0</v>
      </c>
      <c r="F13" s="1">
        <v>0</v>
      </c>
      <c r="G13" s="1">
        <f>'Dec 2022'!G13+'Jan 2023'!F13</f>
        <v>0</v>
      </c>
      <c r="H13" s="1">
        <f t="shared" si="0"/>
        <v>312.23000000000013</v>
      </c>
      <c r="I13" s="1">
        <f>'Dec 2022'!N13</f>
        <v>539.9620000000001</v>
      </c>
      <c r="J13" s="31">
        <v>2.33</v>
      </c>
      <c r="K13" s="1">
        <f>'Dec 2022'!K13+'Jan 2023'!J13</f>
        <v>14.46</v>
      </c>
      <c r="L13" s="1">
        <v>0</v>
      </c>
      <c r="M13" s="1">
        <f>'Dec 2022'!M13+'Jan 2023'!L13</f>
        <v>0.7</v>
      </c>
      <c r="N13" s="1">
        <f t="shared" si="1"/>
        <v>542.29200000000014</v>
      </c>
      <c r="O13" s="1">
        <f>'Dec 2022'!T13</f>
        <v>68.39</v>
      </c>
      <c r="P13" s="1">
        <v>0</v>
      </c>
      <c r="Q13" s="1">
        <f>'Dec 2022'!Q13+'Jan 2023'!P13</f>
        <v>0</v>
      </c>
      <c r="R13" s="1">
        <v>0</v>
      </c>
      <c r="S13" s="1">
        <f>'Dec 2022'!S13+'Jan 2023'!R13</f>
        <v>0</v>
      </c>
      <c r="T13" s="1">
        <f t="shared" si="2"/>
        <v>68.39</v>
      </c>
      <c r="U13" s="1">
        <f t="shared" si="3"/>
        <v>922.91200000000026</v>
      </c>
    </row>
    <row r="14" spans="1:21" s="7" customFormat="1" ht="38.25" customHeight="1">
      <c r="A14" s="131">
        <v>7</v>
      </c>
      <c r="B14" s="133" t="s">
        <v>20</v>
      </c>
      <c r="C14" s="1">
        <f>'Dec 2022'!H14</f>
        <v>1216.4399999999994</v>
      </c>
      <c r="D14" s="1">
        <v>0</v>
      </c>
      <c r="E14" s="1">
        <f>'Dec 2022'!E14+'Jan 2023'!D14</f>
        <v>0</v>
      </c>
      <c r="F14" s="1">
        <v>0</v>
      </c>
      <c r="G14" s="1">
        <f>'Dec 2022'!G14+'Jan 2023'!F14</f>
        <v>0</v>
      </c>
      <c r="H14" s="1">
        <f t="shared" si="0"/>
        <v>1216.4399999999994</v>
      </c>
      <c r="I14" s="1">
        <f>'Dec 2022'!N14</f>
        <v>894.35800000000017</v>
      </c>
      <c r="J14" s="31">
        <v>3.01</v>
      </c>
      <c r="K14" s="1">
        <f>'Dec 2022'!K14+'Jan 2023'!J14</f>
        <v>32.58</v>
      </c>
      <c r="L14" s="1">
        <v>0</v>
      </c>
      <c r="M14" s="1">
        <f>'Dec 2022'!M14+'Jan 2023'!L14</f>
        <v>0</v>
      </c>
      <c r="N14" s="1">
        <f t="shared" si="1"/>
        <v>897.36800000000017</v>
      </c>
      <c r="O14" s="1">
        <f>'Dec 2022'!T14</f>
        <v>61.329999999999991</v>
      </c>
      <c r="P14" s="1">
        <v>0</v>
      </c>
      <c r="Q14" s="1">
        <f>'Dec 2022'!Q14+'Jan 2023'!P14</f>
        <v>0</v>
      </c>
      <c r="R14" s="1">
        <v>0</v>
      </c>
      <c r="S14" s="1">
        <f>'Dec 2022'!S14+'Jan 2023'!R14</f>
        <v>0</v>
      </c>
      <c r="T14" s="1">
        <f t="shared" si="2"/>
        <v>61.329999999999991</v>
      </c>
      <c r="U14" s="1">
        <f t="shared" si="3"/>
        <v>2175.1379999999995</v>
      </c>
    </row>
    <row r="15" spans="1:21" s="7" customFormat="1" ht="38.25" customHeight="1">
      <c r="A15" s="130"/>
      <c r="B15" s="132" t="s">
        <v>21</v>
      </c>
      <c r="C15" s="2">
        <f>SUM(C12:C14)</f>
        <v>1670.6699999999992</v>
      </c>
      <c r="D15" s="2">
        <f t="shared" ref="D15:U15" si="5">SUM(D12:D14)</f>
        <v>0</v>
      </c>
      <c r="E15" s="2">
        <f t="shared" si="5"/>
        <v>0</v>
      </c>
      <c r="F15" s="2">
        <f t="shared" si="5"/>
        <v>0</v>
      </c>
      <c r="G15" s="2">
        <f t="shared" si="5"/>
        <v>213.31</v>
      </c>
      <c r="H15" s="2">
        <f t="shared" si="5"/>
        <v>1670.6699999999992</v>
      </c>
      <c r="I15" s="2">
        <f t="shared" si="5"/>
        <v>2588.4949999999999</v>
      </c>
      <c r="J15" s="2">
        <f t="shared" si="5"/>
        <v>7.41</v>
      </c>
      <c r="K15" s="2">
        <f t="shared" si="5"/>
        <v>292.53999999999996</v>
      </c>
      <c r="L15" s="2">
        <f t="shared" si="5"/>
        <v>0</v>
      </c>
      <c r="M15" s="2">
        <f t="shared" si="5"/>
        <v>0.7</v>
      </c>
      <c r="N15" s="2">
        <f t="shared" si="5"/>
        <v>2595.9049999999997</v>
      </c>
      <c r="O15" s="2">
        <f t="shared" si="5"/>
        <v>150.44999999999999</v>
      </c>
      <c r="P15" s="2">
        <f t="shared" si="5"/>
        <v>2.11</v>
      </c>
      <c r="Q15" s="2">
        <f t="shared" si="5"/>
        <v>2.11</v>
      </c>
      <c r="R15" s="2">
        <f t="shared" si="5"/>
        <v>0</v>
      </c>
      <c r="S15" s="2">
        <f t="shared" si="5"/>
        <v>16.12</v>
      </c>
      <c r="T15" s="2">
        <f t="shared" si="5"/>
        <v>152.56</v>
      </c>
      <c r="U15" s="2">
        <f t="shared" si="5"/>
        <v>4419.1349999999984</v>
      </c>
    </row>
    <row r="16" spans="1:21" s="16" customFormat="1" ht="38.25" customHeight="1">
      <c r="A16" s="131">
        <v>8</v>
      </c>
      <c r="B16" s="133" t="s">
        <v>22</v>
      </c>
      <c r="C16" s="1">
        <f>'Dec 2022'!H16</f>
        <v>780.1940000000003</v>
      </c>
      <c r="D16" s="1">
        <v>0.32</v>
      </c>
      <c r="E16" s="1">
        <f>'Dec 2022'!E16+'Jan 2023'!D16</f>
        <v>6.2200000000000006</v>
      </c>
      <c r="F16" s="1">
        <v>5.41</v>
      </c>
      <c r="G16" s="1">
        <f>'Dec 2022'!G16+'Jan 2023'!F16</f>
        <v>224.95999999999998</v>
      </c>
      <c r="H16" s="1">
        <f t="shared" si="0"/>
        <v>775.10400000000038</v>
      </c>
      <c r="I16" s="1">
        <f>'Dec 2022'!N16</f>
        <v>574.44600000000003</v>
      </c>
      <c r="J16" s="1">
        <v>0.83</v>
      </c>
      <c r="K16" s="1">
        <f>'Dec 2022'!K16+'Jan 2023'!J16</f>
        <v>276.22999999999996</v>
      </c>
      <c r="L16" s="1">
        <v>0</v>
      </c>
      <c r="M16" s="1">
        <f>'Dec 2022'!M16+'Jan 2023'!L16</f>
        <v>0</v>
      </c>
      <c r="N16" s="1">
        <f t="shared" si="1"/>
        <v>575.27600000000007</v>
      </c>
      <c r="O16" s="1">
        <f>'Dec 2022'!T16</f>
        <v>177.41200000000003</v>
      </c>
      <c r="P16" s="1">
        <v>0.03</v>
      </c>
      <c r="Q16" s="1">
        <f>'Dec 2022'!Q16+'Jan 2023'!P16</f>
        <v>0.03</v>
      </c>
      <c r="R16" s="1">
        <v>0</v>
      </c>
      <c r="S16" s="1">
        <f>'Dec 2022'!S16+'Jan 2023'!R16</f>
        <v>0</v>
      </c>
      <c r="T16" s="1">
        <f t="shared" si="2"/>
        <v>177.44200000000004</v>
      </c>
      <c r="U16" s="1">
        <f t="shared" si="3"/>
        <v>1527.8220000000006</v>
      </c>
    </row>
    <row r="17" spans="1:23" ht="61.5" customHeight="1">
      <c r="A17" s="17">
        <v>9</v>
      </c>
      <c r="B17" s="26" t="s">
        <v>23</v>
      </c>
      <c r="C17" s="1">
        <f>'Dec 2022'!H17</f>
        <v>2.6759999999999478</v>
      </c>
      <c r="D17" s="1">
        <v>0</v>
      </c>
      <c r="E17" s="1">
        <f>'Dec 2022'!E17+'Jan 2023'!D17</f>
        <v>0</v>
      </c>
      <c r="F17" s="1">
        <v>0</v>
      </c>
      <c r="G17" s="1">
        <f>'Dec 2022'!G17+'Jan 2023'!F17</f>
        <v>3.74</v>
      </c>
      <c r="H17" s="1">
        <f t="shared" si="0"/>
        <v>2.6759999999999478</v>
      </c>
      <c r="I17" s="1">
        <f>'Dec 2022'!N17</f>
        <v>582.01</v>
      </c>
      <c r="J17" s="1">
        <v>1.89</v>
      </c>
      <c r="K17" s="1">
        <f>'Dec 2022'!K17+'Jan 2023'!J17</f>
        <v>72.150000000000006</v>
      </c>
      <c r="L17" s="1">
        <v>0</v>
      </c>
      <c r="M17" s="1">
        <f>'Dec 2022'!M17+'Jan 2023'!L17</f>
        <v>0</v>
      </c>
      <c r="N17" s="1">
        <f t="shared" si="1"/>
        <v>583.9</v>
      </c>
      <c r="O17" s="1">
        <f>'Dec 2022'!T17</f>
        <v>1.9500000000000002</v>
      </c>
      <c r="P17" s="1">
        <v>0</v>
      </c>
      <c r="Q17" s="1">
        <f>'Dec 2022'!Q17+'Jan 2023'!P17</f>
        <v>1.3399999999999999</v>
      </c>
      <c r="R17" s="1">
        <v>0</v>
      </c>
      <c r="S17" s="1">
        <f>'Dec 2022'!S17+'Jan 2023'!R17</f>
        <v>5.72</v>
      </c>
      <c r="T17" s="1">
        <f t="shared" si="2"/>
        <v>1.9500000000000002</v>
      </c>
      <c r="U17" s="1">
        <f t="shared" si="3"/>
        <v>588.52599999999995</v>
      </c>
    </row>
    <row r="18" spans="1:23" s="7" customFormat="1" ht="38.25" customHeight="1">
      <c r="A18" s="131">
        <v>10</v>
      </c>
      <c r="B18" s="133" t="s">
        <v>24</v>
      </c>
      <c r="C18" s="1">
        <f>'Dec 2022'!H18</f>
        <v>137.07600000000014</v>
      </c>
      <c r="D18" s="1">
        <v>0.05</v>
      </c>
      <c r="E18" s="1">
        <f>'Dec 2022'!E18+'Jan 2023'!D18</f>
        <v>1.35</v>
      </c>
      <c r="F18" s="1">
        <v>46.86</v>
      </c>
      <c r="G18" s="1">
        <f>'Dec 2022'!G18+'Jan 2023'!F18</f>
        <v>46.86</v>
      </c>
      <c r="H18" s="1">
        <f t="shared" si="0"/>
        <v>90.266000000000147</v>
      </c>
      <c r="I18" s="1">
        <f>'Dec 2022'!N18</f>
        <v>494.387</v>
      </c>
      <c r="J18" s="1">
        <v>124.1</v>
      </c>
      <c r="K18" s="1">
        <f>'Dec 2022'!K18+'Jan 2023'!J18</f>
        <v>131.76</v>
      </c>
      <c r="L18" s="1">
        <v>0</v>
      </c>
      <c r="M18" s="1">
        <f>'Dec 2022'!M18+'Jan 2023'!L18</f>
        <v>0.34</v>
      </c>
      <c r="N18" s="1">
        <f t="shared" si="1"/>
        <v>618.48699999999997</v>
      </c>
      <c r="O18" s="1">
        <f>'Dec 2022'!T18</f>
        <v>39.47999999999999</v>
      </c>
      <c r="P18" s="1">
        <v>0</v>
      </c>
      <c r="Q18" s="1">
        <f>'Dec 2022'!Q18+'Jan 2023'!P18</f>
        <v>0.89999999999999991</v>
      </c>
      <c r="R18" s="1">
        <v>3.79</v>
      </c>
      <c r="S18" s="1">
        <f>'Dec 2022'!S18+'Jan 2023'!R18</f>
        <v>4.08</v>
      </c>
      <c r="T18" s="1">
        <f t="shared" si="2"/>
        <v>35.689999999999991</v>
      </c>
      <c r="U18" s="1">
        <f t="shared" si="3"/>
        <v>744.4430000000001</v>
      </c>
    </row>
    <row r="19" spans="1:23" s="7" customFormat="1" ht="38.25" customHeight="1">
      <c r="A19" s="130"/>
      <c r="B19" s="132" t="s">
        <v>25</v>
      </c>
      <c r="C19" s="2">
        <f>SUM(C16:C18)</f>
        <v>919.94600000000037</v>
      </c>
      <c r="D19" s="2">
        <f t="shared" ref="D19:U19" si="6">SUM(D16:D18)</f>
        <v>0.37</v>
      </c>
      <c r="E19" s="2">
        <f t="shared" si="6"/>
        <v>7.57</v>
      </c>
      <c r="F19" s="2">
        <f t="shared" si="6"/>
        <v>52.269999999999996</v>
      </c>
      <c r="G19" s="2">
        <f t="shared" si="6"/>
        <v>275.56</v>
      </c>
      <c r="H19" s="2">
        <f t="shared" si="6"/>
        <v>868.0460000000005</v>
      </c>
      <c r="I19" s="2">
        <f t="shared" si="6"/>
        <v>1650.8430000000001</v>
      </c>
      <c r="J19" s="2">
        <f t="shared" si="6"/>
        <v>126.82</v>
      </c>
      <c r="K19" s="2">
        <f t="shared" si="6"/>
        <v>480.14</v>
      </c>
      <c r="L19" s="2">
        <f t="shared" si="6"/>
        <v>0</v>
      </c>
      <c r="M19" s="2">
        <f t="shared" si="6"/>
        <v>0.34</v>
      </c>
      <c r="N19" s="2">
        <f t="shared" si="6"/>
        <v>1777.663</v>
      </c>
      <c r="O19" s="2">
        <f t="shared" si="6"/>
        <v>218.84200000000001</v>
      </c>
      <c r="P19" s="2">
        <f t="shared" si="6"/>
        <v>0.03</v>
      </c>
      <c r="Q19" s="2">
        <f t="shared" si="6"/>
        <v>2.2699999999999996</v>
      </c>
      <c r="R19" s="2">
        <f t="shared" si="6"/>
        <v>3.79</v>
      </c>
      <c r="S19" s="2">
        <f t="shared" si="6"/>
        <v>9.8000000000000007</v>
      </c>
      <c r="T19" s="2">
        <f t="shared" si="6"/>
        <v>215.08200000000002</v>
      </c>
      <c r="U19" s="2">
        <f t="shared" si="6"/>
        <v>2860.7910000000006</v>
      </c>
    </row>
    <row r="20" spans="1:23" ht="38.25" customHeight="1">
      <c r="A20" s="131">
        <v>11</v>
      </c>
      <c r="B20" s="133" t="s">
        <v>26</v>
      </c>
      <c r="C20" s="1">
        <f>'Dec 2022'!H20</f>
        <v>607.27999999999986</v>
      </c>
      <c r="D20" s="1">
        <v>0</v>
      </c>
      <c r="E20" s="1">
        <f>'Dec 2022'!E20+'Jan 2023'!D20</f>
        <v>1.62</v>
      </c>
      <c r="F20" s="1">
        <v>0</v>
      </c>
      <c r="G20" s="1">
        <f>'Dec 2022'!G20+'Jan 2023'!F20</f>
        <v>24.91</v>
      </c>
      <c r="H20" s="1">
        <f t="shared" si="0"/>
        <v>607.27999999999986</v>
      </c>
      <c r="I20" s="1">
        <f>'Dec 2022'!N20</f>
        <v>731.77800000000025</v>
      </c>
      <c r="J20" s="1">
        <v>2.57</v>
      </c>
      <c r="K20" s="1">
        <f>'Dec 2022'!K20+'Jan 2023'!J20</f>
        <v>336.2</v>
      </c>
      <c r="L20" s="1">
        <v>0</v>
      </c>
      <c r="M20" s="1">
        <f>'Dec 2022'!M20+'Jan 2023'!L20</f>
        <v>1.04</v>
      </c>
      <c r="N20" s="1">
        <f t="shared" si="1"/>
        <v>734.3480000000003</v>
      </c>
      <c r="O20" s="1">
        <f>'Dec 2022'!T20</f>
        <v>37.580000000000005</v>
      </c>
      <c r="P20" s="1">
        <v>0</v>
      </c>
      <c r="Q20" s="1">
        <f>'Dec 2022'!Q20+'Jan 2023'!P20</f>
        <v>0</v>
      </c>
      <c r="R20" s="1">
        <v>0</v>
      </c>
      <c r="S20" s="1">
        <f>'Dec 2022'!S20+'Jan 2023'!R20</f>
        <v>2.77</v>
      </c>
      <c r="T20" s="1">
        <f t="shared" si="2"/>
        <v>37.580000000000005</v>
      </c>
      <c r="U20" s="1">
        <f t="shared" si="3"/>
        <v>1379.2080000000001</v>
      </c>
      <c r="W20" s="145"/>
    </row>
    <row r="21" spans="1:23" ht="38.25" customHeight="1">
      <c r="A21" s="131">
        <v>12</v>
      </c>
      <c r="B21" s="133" t="s">
        <v>27</v>
      </c>
      <c r="C21" s="1">
        <f>'Dec 2022'!H21</f>
        <v>22.51</v>
      </c>
      <c r="D21" s="1">
        <v>0</v>
      </c>
      <c r="E21" s="1">
        <f>'Dec 2022'!E21+'Jan 2023'!D21</f>
        <v>0</v>
      </c>
      <c r="F21" s="1">
        <v>20.440000000000001</v>
      </c>
      <c r="G21" s="1">
        <f>'Dec 2022'!G21+'Jan 2023'!F21</f>
        <v>20.440000000000001</v>
      </c>
      <c r="H21" s="1">
        <f t="shared" si="0"/>
        <v>2.0700000000000003</v>
      </c>
      <c r="I21" s="1">
        <f>'Dec 2022'!N21</f>
        <v>424.36700000000008</v>
      </c>
      <c r="J21" s="1">
        <v>34.5</v>
      </c>
      <c r="K21" s="1">
        <f>'Dec 2022'!K21+'Jan 2023'!J21</f>
        <v>60.75</v>
      </c>
      <c r="L21" s="1">
        <v>0</v>
      </c>
      <c r="M21" s="1">
        <f>'Dec 2022'!M21+'Jan 2023'!L21</f>
        <v>0</v>
      </c>
      <c r="N21" s="1">
        <f t="shared" si="1"/>
        <v>458.86700000000008</v>
      </c>
      <c r="O21" s="1">
        <f>'Dec 2022'!T21</f>
        <v>19.489999999999998</v>
      </c>
      <c r="P21" s="1">
        <v>0</v>
      </c>
      <c r="Q21" s="1">
        <f>'Dec 2022'!Q21+'Jan 2023'!P21</f>
        <v>0.12</v>
      </c>
      <c r="R21" s="1">
        <v>0.6</v>
      </c>
      <c r="S21" s="1">
        <f>'Dec 2022'!S21+'Jan 2023'!R21</f>
        <v>0.6</v>
      </c>
      <c r="T21" s="1">
        <f t="shared" si="2"/>
        <v>18.889999999999997</v>
      </c>
      <c r="U21" s="1">
        <f t="shared" si="3"/>
        <v>479.82700000000006</v>
      </c>
      <c r="W21" s="145"/>
    </row>
    <row r="22" spans="1:23" s="7" customFormat="1" ht="38.25" customHeight="1">
      <c r="A22" s="131">
        <v>13</v>
      </c>
      <c r="B22" s="133" t="s">
        <v>28</v>
      </c>
      <c r="C22" s="1">
        <f>'Dec 2022'!H22</f>
        <v>22.430000000000021</v>
      </c>
      <c r="D22" s="1">
        <v>0</v>
      </c>
      <c r="E22" s="1">
        <f>'Dec 2022'!E22+'Jan 2023'!D22</f>
        <v>0</v>
      </c>
      <c r="F22" s="1">
        <v>0</v>
      </c>
      <c r="G22" s="1">
        <f>'Dec 2022'!G22+'Jan 2023'!F22</f>
        <v>0</v>
      </c>
      <c r="H22" s="1">
        <f t="shared" si="0"/>
        <v>22.430000000000021</v>
      </c>
      <c r="I22" s="1">
        <f>'Dec 2022'!N22</f>
        <v>696.95000000000016</v>
      </c>
      <c r="J22" s="1">
        <v>0.7</v>
      </c>
      <c r="K22" s="1">
        <f>'Dec 2022'!K22+'Jan 2023'!J22</f>
        <v>8.759999999999998</v>
      </c>
      <c r="L22" s="1">
        <v>0</v>
      </c>
      <c r="M22" s="1">
        <f>'Dec 2022'!M22+'Jan 2023'!L22</f>
        <v>0.08</v>
      </c>
      <c r="N22" s="1">
        <f t="shared" si="1"/>
        <v>697.6500000000002</v>
      </c>
      <c r="O22" s="1">
        <f>'Dec 2022'!T22</f>
        <v>0.60000000000000098</v>
      </c>
      <c r="P22" s="1">
        <v>0</v>
      </c>
      <c r="Q22" s="1">
        <f>'Dec 2022'!Q22+'Jan 2023'!P22</f>
        <v>0</v>
      </c>
      <c r="R22" s="1">
        <v>0</v>
      </c>
      <c r="S22" s="1">
        <f>'Dec 2022'!S22+'Jan 2023'!R22</f>
        <v>0</v>
      </c>
      <c r="T22" s="1">
        <f t="shared" si="2"/>
        <v>0.60000000000000098</v>
      </c>
      <c r="U22" s="1">
        <f t="shared" si="3"/>
        <v>720.68000000000029</v>
      </c>
      <c r="W22" s="145"/>
    </row>
    <row r="23" spans="1:23" s="7" customFormat="1" ht="38.25" customHeight="1">
      <c r="A23" s="131">
        <v>14</v>
      </c>
      <c r="B23" s="133" t="s">
        <v>29</v>
      </c>
      <c r="C23" s="1">
        <f>'Dec 2022'!H23</f>
        <v>430.64</v>
      </c>
      <c r="D23" s="1">
        <v>0</v>
      </c>
      <c r="E23" s="1">
        <f>'Dec 2022'!E23+'Jan 2023'!D23</f>
        <v>3.4</v>
      </c>
      <c r="F23" s="1">
        <v>0</v>
      </c>
      <c r="G23" s="1">
        <f>'Dec 2022'!G23+'Jan 2023'!F23</f>
        <v>0</v>
      </c>
      <c r="H23" s="1">
        <f t="shared" si="0"/>
        <v>430.64</v>
      </c>
      <c r="I23" s="1">
        <f>'Dec 2022'!N23</f>
        <v>127.035</v>
      </c>
      <c r="J23" s="1">
        <v>3.38</v>
      </c>
      <c r="K23" s="1">
        <f>'Dec 2022'!K23+'Jan 2023'!J23</f>
        <v>28.53</v>
      </c>
      <c r="L23" s="1">
        <v>0</v>
      </c>
      <c r="M23" s="1">
        <f>'Dec 2022'!M23+'Jan 2023'!L23</f>
        <v>0</v>
      </c>
      <c r="N23" s="1">
        <f t="shared" si="1"/>
        <v>130.41499999999999</v>
      </c>
      <c r="O23" s="1">
        <f>'Dec 2022'!T23</f>
        <v>22.5</v>
      </c>
      <c r="P23" s="1">
        <v>0</v>
      </c>
      <c r="Q23" s="1">
        <f>'Dec 2022'!Q23+'Jan 2023'!P23</f>
        <v>0</v>
      </c>
      <c r="R23" s="1">
        <v>0</v>
      </c>
      <c r="S23" s="1">
        <f>'Dec 2022'!S23+'Jan 2023'!R23</f>
        <v>0</v>
      </c>
      <c r="T23" s="1">
        <f t="shared" si="2"/>
        <v>22.5</v>
      </c>
      <c r="U23" s="1">
        <f t="shared" si="3"/>
        <v>583.55499999999995</v>
      </c>
      <c r="W23" s="145"/>
    </row>
    <row r="24" spans="1:23" s="7" customFormat="1" ht="45.75" customHeight="1">
      <c r="A24" s="130"/>
      <c r="B24" s="132" t="s">
        <v>30</v>
      </c>
      <c r="C24" s="2">
        <f>SUM(C20:C23)</f>
        <v>1082.8599999999999</v>
      </c>
      <c r="D24" s="2">
        <f t="shared" ref="D24:U24" si="7">SUM(D20:D23)</f>
        <v>0</v>
      </c>
      <c r="E24" s="2">
        <f t="shared" si="7"/>
        <v>5.0199999999999996</v>
      </c>
      <c r="F24" s="2">
        <f t="shared" si="7"/>
        <v>20.440000000000001</v>
      </c>
      <c r="G24" s="2">
        <f t="shared" si="7"/>
        <v>45.35</v>
      </c>
      <c r="H24" s="2">
        <f t="shared" si="7"/>
        <v>1062.42</v>
      </c>
      <c r="I24" s="2">
        <f t="shared" si="7"/>
        <v>1980.1300000000008</v>
      </c>
      <c r="J24" s="2">
        <f t="shared" si="7"/>
        <v>41.150000000000006</v>
      </c>
      <c r="K24" s="2">
        <f t="shared" si="7"/>
        <v>434.24</v>
      </c>
      <c r="L24" s="2">
        <f t="shared" si="7"/>
        <v>0</v>
      </c>
      <c r="M24" s="2">
        <f t="shared" si="7"/>
        <v>1.1200000000000001</v>
      </c>
      <c r="N24" s="2">
        <f t="shared" si="7"/>
        <v>2021.2800000000007</v>
      </c>
      <c r="O24" s="2">
        <f t="shared" si="7"/>
        <v>80.170000000000016</v>
      </c>
      <c r="P24" s="2">
        <f t="shared" si="7"/>
        <v>0</v>
      </c>
      <c r="Q24" s="2">
        <f t="shared" si="7"/>
        <v>0.12</v>
      </c>
      <c r="R24" s="2">
        <f t="shared" si="7"/>
        <v>0.6</v>
      </c>
      <c r="S24" s="2">
        <f t="shared" si="7"/>
        <v>3.37</v>
      </c>
      <c r="T24" s="2">
        <f t="shared" si="7"/>
        <v>79.569999999999993</v>
      </c>
      <c r="U24" s="2">
        <f t="shared" si="7"/>
        <v>3163.27</v>
      </c>
    </row>
    <row r="25" spans="1:23" s="7" customFormat="1" ht="38.25" customHeight="1">
      <c r="A25" s="130"/>
      <c r="B25" s="132" t="s">
        <v>31</v>
      </c>
      <c r="C25" s="2">
        <f>C24+C19+C15+C11</f>
        <v>4155.2060000000001</v>
      </c>
      <c r="D25" s="2">
        <f t="shared" ref="D25:U25" si="8">D24+D19+D15+D11</f>
        <v>0.4</v>
      </c>
      <c r="E25" s="2">
        <f t="shared" si="8"/>
        <v>12.62</v>
      </c>
      <c r="F25" s="2">
        <f t="shared" si="8"/>
        <v>72.709999999999994</v>
      </c>
      <c r="G25" s="2">
        <f t="shared" si="8"/>
        <v>617.08000000000004</v>
      </c>
      <c r="H25" s="2">
        <f t="shared" si="8"/>
        <v>4082.8959999999997</v>
      </c>
      <c r="I25" s="2">
        <f t="shared" si="8"/>
        <v>8516.9920000000002</v>
      </c>
      <c r="J25" s="2">
        <f t="shared" si="8"/>
        <v>202.48</v>
      </c>
      <c r="K25" s="2">
        <f t="shared" si="8"/>
        <v>1536.424</v>
      </c>
      <c r="L25" s="2">
        <f t="shared" si="8"/>
        <v>0</v>
      </c>
      <c r="M25" s="2">
        <f t="shared" si="8"/>
        <v>2.16</v>
      </c>
      <c r="N25" s="2">
        <f t="shared" si="8"/>
        <v>8719.4719999999998</v>
      </c>
      <c r="O25" s="2">
        <f t="shared" si="8"/>
        <v>569.12800000000004</v>
      </c>
      <c r="P25" s="2">
        <f t="shared" si="8"/>
        <v>2.1399999999999997</v>
      </c>
      <c r="Q25" s="2">
        <f t="shared" si="8"/>
        <v>4.5</v>
      </c>
      <c r="R25" s="2">
        <f t="shared" si="8"/>
        <v>4.3899999999999997</v>
      </c>
      <c r="S25" s="2">
        <f t="shared" si="8"/>
        <v>30.300000000000004</v>
      </c>
      <c r="T25" s="2">
        <f t="shared" si="8"/>
        <v>566.87800000000004</v>
      </c>
      <c r="U25" s="2">
        <f t="shared" si="8"/>
        <v>13369.245999999999</v>
      </c>
    </row>
    <row r="26" spans="1:23" ht="38.25" customHeight="1">
      <c r="A26" s="131">
        <v>15</v>
      </c>
      <c r="B26" s="133" t="s">
        <v>32</v>
      </c>
      <c r="C26" s="1">
        <f>'Dec 2022'!H26</f>
        <v>1599.24</v>
      </c>
      <c r="D26" s="1">
        <v>4.51</v>
      </c>
      <c r="E26" s="1">
        <f>'Dec 2022'!E26+'Jan 2023'!D26</f>
        <v>50.769999999999989</v>
      </c>
      <c r="F26" s="1">
        <v>0</v>
      </c>
      <c r="G26" s="1">
        <f>'Dec 2022'!G26+'Jan 2023'!F26</f>
        <v>0</v>
      </c>
      <c r="H26" s="1">
        <f t="shared" si="0"/>
        <v>1603.75</v>
      </c>
      <c r="I26" s="1">
        <f>'Dec 2022'!N26</f>
        <v>102.97999999999999</v>
      </c>
      <c r="J26" s="1">
        <v>0</v>
      </c>
      <c r="K26" s="1">
        <f>'Dec 2022'!K26+'Jan 2023'!J26</f>
        <v>35.65</v>
      </c>
      <c r="L26" s="1">
        <v>0</v>
      </c>
      <c r="M26" s="1">
        <f>'Dec 2022'!M26+'Jan 2023'!L26</f>
        <v>0</v>
      </c>
      <c r="N26" s="1">
        <f t="shared" si="1"/>
        <v>102.97999999999999</v>
      </c>
      <c r="O26" s="1">
        <f>'Dec 2022'!T26</f>
        <v>16.259999999999998</v>
      </c>
      <c r="P26" s="1">
        <v>0</v>
      </c>
      <c r="Q26" s="1">
        <f>'Dec 2022'!Q26+'Jan 2023'!P26</f>
        <v>0.15</v>
      </c>
      <c r="R26" s="1">
        <v>0</v>
      </c>
      <c r="S26" s="1">
        <f>'Dec 2022'!S26+'Jan 2023'!R26</f>
        <v>0</v>
      </c>
      <c r="T26" s="1">
        <f t="shared" si="2"/>
        <v>16.259999999999998</v>
      </c>
      <c r="U26" s="1">
        <f t="shared" si="3"/>
        <v>1722.99</v>
      </c>
    </row>
    <row r="27" spans="1:23" s="7" customFormat="1" ht="38.25" customHeight="1">
      <c r="A27" s="131">
        <v>16</v>
      </c>
      <c r="B27" s="133" t="s">
        <v>33</v>
      </c>
      <c r="C27" s="1">
        <f>'Dec 2022'!H27</f>
        <v>5672.1550000000043</v>
      </c>
      <c r="D27" s="1">
        <v>3.52</v>
      </c>
      <c r="E27" s="1">
        <f>'Dec 2022'!E27+'Jan 2023'!D27</f>
        <v>98.97</v>
      </c>
      <c r="F27" s="1">
        <v>0</v>
      </c>
      <c r="G27" s="1">
        <f>'Dec 2022'!G27+'Jan 2023'!F27</f>
        <v>0</v>
      </c>
      <c r="H27" s="1">
        <f t="shared" si="0"/>
        <v>5675.6750000000047</v>
      </c>
      <c r="I27" s="1">
        <f>'Dec 2022'!N27</f>
        <v>617.09799999999996</v>
      </c>
      <c r="J27" s="1">
        <v>3.04</v>
      </c>
      <c r="K27" s="1">
        <f>'Dec 2022'!K27+'Jan 2023'!J27</f>
        <v>25.950000000000003</v>
      </c>
      <c r="L27" s="1">
        <v>0</v>
      </c>
      <c r="M27" s="1">
        <f>'Dec 2022'!M27+'Jan 2023'!L27</f>
        <v>0</v>
      </c>
      <c r="N27" s="1">
        <f t="shared" si="1"/>
        <v>620.13799999999992</v>
      </c>
      <c r="O27" s="1">
        <f>'Dec 2022'!T27</f>
        <v>33.590000000000003</v>
      </c>
      <c r="P27" s="1">
        <v>0.17</v>
      </c>
      <c r="Q27" s="1">
        <f>'Dec 2022'!Q27+'Jan 2023'!P27</f>
        <v>0.27</v>
      </c>
      <c r="R27" s="1">
        <v>0</v>
      </c>
      <c r="S27" s="1">
        <f>'Dec 2022'!S27+'Jan 2023'!R27</f>
        <v>0</v>
      </c>
      <c r="T27" s="1">
        <f t="shared" si="2"/>
        <v>33.760000000000005</v>
      </c>
      <c r="U27" s="1">
        <f t="shared" si="3"/>
        <v>6329.5730000000049</v>
      </c>
    </row>
    <row r="28" spans="1:23" s="7" customFormat="1" ht="38.25" customHeight="1">
      <c r="A28" s="130"/>
      <c r="B28" s="132" t="s">
        <v>34</v>
      </c>
      <c r="C28" s="2">
        <f>SUM(C26:C27)</f>
        <v>7271.3950000000041</v>
      </c>
      <c r="D28" s="2">
        <f t="shared" ref="D28:U28" si="9">SUM(D26:D27)</f>
        <v>8.0299999999999994</v>
      </c>
      <c r="E28" s="2">
        <f t="shared" si="9"/>
        <v>149.73999999999998</v>
      </c>
      <c r="F28" s="2">
        <f t="shared" si="9"/>
        <v>0</v>
      </c>
      <c r="G28" s="2">
        <f t="shared" si="9"/>
        <v>0</v>
      </c>
      <c r="H28" s="2">
        <f t="shared" si="9"/>
        <v>7279.4250000000047</v>
      </c>
      <c r="I28" s="2">
        <f t="shared" si="9"/>
        <v>720.07799999999997</v>
      </c>
      <c r="J28" s="2">
        <f t="shared" si="9"/>
        <v>3.04</v>
      </c>
      <c r="K28" s="2">
        <f t="shared" si="9"/>
        <v>61.6</v>
      </c>
      <c r="L28" s="2">
        <f t="shared" si="9"/>
        <v>0</v>
      </c>
      <c r="M28" s="2">
        <f t="shared" si="9"/>
        <v>0</v>
      </c>
      <c r="N28" s="2">
        <f t="shared" si="9"/>
        <v>723.11799999999994</v>
      </c>
      <c r="O28" s="2">
        <f t="shared" si="9"/>
        <v>49.85</v>
      </c>
      <c r="P28" s="2">
        <f t="shared" si="9"/>
        <v>0.17</v>
      </c>
      <c r="Q28" s="2">
        <f t="shared" si="9"/>
        <v>0.42000000000000004</v>
      </c>
      <c r="R28" s="2">
        <f t="shared" si="9"/>
        <v>0</v>
      </c>
      <c r="S28" s="2">
        <f t="shared" si="9"/>
        <v>0</v>
      </c>
      <c r="T28" s="2">
        <f t="shared" si="9"/>
        <v>50.02</v>
      </c>
      <c r="U28" s="2">
        <f t="shared" si="9"/>
        <v>8052.5630000000046</v>
      </c>
    </row>
    <row r="29" spans="1:23" ht="38.25" customHeight="1">
      <c r="A29" s="131">
        <v>17</v>
      </c>
      <c r="B29" s="133" t="s">
        <v>35</v>
      </c>
      <c r="C29" s="1">
        <f>'Dec 2022'!H29</f>
        <v>4875.4980000000014</v>
      </c>
      <c r="D29" s="1">
        <v>2.36</v>
      </c>
      <c r="E29" s="1">
        <f>'Dec 2022'!E29+'Jan 2023'!D29</f>
        <v>219.17000000000002</v>
      </c>
      <c r="F29" s="1">
        <v>0</v>
      </c>
      <c r="G29" s="1">
        <f>'Dec 2022'!G29+'Jan 2023'!F29</f>
        <v>0</v>
      </c>
      <c r="H29" s="1">
        <f t="shared" si="0"/>
        <v>4877.8580000000011</v>
      </c>
      <c r="I29" s="1">
        <f>'Dec 2022'!N29</f>
        <v>121.09000000000002</v>
      </c>
      <c r="J29" s="1">
        <v>0.44</v>
      </c>
      <c r="K29" s="1">
        <f>'Dec 2022'!K29+'Jan 2023'!J29</f>
        <v>2.14</v>
      </c>
      <c r="L29" s="1">
        <v>0</v>
      </c>
      <c r="M29" s="1">
        <f>'Dec 2022'!M29+'Jan 2023'!L29</f>
        <v>0</v>
      </c>
      <c r="N29" s="1">
        <f t="shared" si="1"/>
        <v>121.53000000000002</v>
      </c>
      <c r="O29" s="1">
        <f>'Dec 2022'!T29</f>
        <v>34.52000000000001</v>
      </c>
      <c r="P29" s="1">
        <v>0</v>
      </c>
      <c r="Q29" s="1">
        <f>'Dec 2022'!Q29+'Jan 2023'!P29</f>
        <v>0</v>
      </c>
      <c r="R29" s="1">
        <v>0</v>
      </c>
      <c r="S29" s="1">
        <f>'Dec 2022'!S29+'Jan 2023'!R29</f>
        <v>23.2</v>
      </c>
      <c r="T29" s="1">
        <f t="shared" si="2"/>
        <v>34.52000000000001</v>
      </c>
      <c r="U29" s="1">
        <f t="shared" si="3"/>
        <v>5033.9080000000013</v>
      </c>
      <c r="W29" s="146"/>
    </row>
    <row r="30" spans="1:23" ht="54.75" customHeight="1">
      <c r="A30" s="131">
        <v>18</v>
      </c>
      <c r="B30" s="133" t="s">
        <v>36</v>
      </c>
      <c r="C30" s="1">
        <f>'Dec 2022'!H30</f>
        <v>3671.1199999999994</v>
      </c>
      <c r="D30" s="1">
        <v>21.33</v>
      </c>
      <c r="E30" s="1">
        <f>'Dec 2022'!E30+'Jan 2023'!D30</f>
        <v>80.110000000000014</v>
      </c>
      <c r="F30" s="1">
        <v>0</v>
      </c>
      <c r="G30" s="1">
        <f>'Dec 2022'!G30+'Jan 2023'!F30</f>
        <v>0</v>
      </c>
      <c r="H30" s="1">
        <f t="shared" si="0"/>
        <v>3692.4499999999994</v>
      </c>
      <c r="I30" s="1">
        <f>'Dec 2022'!N30</f>
        <v>198.58699999999999</v>
      </c>
      <c r="J30" s="1">
        <v>0</v>
      </c>
      <c r="K30" s="1">
        <f>'Dec 2022'!K30+'Jan 2023'!J30</f>
        <v>88</v>
      </c>
      <c r="L30" s="1">
        <v>0</v>
      </c>
      <c r="M30" s="1">
        <f>'Dec 2022'!M30+'Jan 2023'!L30</f>
        <v>0</v>
      </c>
      <c r="N30" s="1">
        <f t="shared" si="1"/>
        <v>198.58699999999999</v>
      </c>
      <c r="O30" s="1">
        <f>'Dec 2022'!T30</f>
        <v>23.25</v>
      </c>
      <c r="P30" s="1">
        <v>0</v>
      </c>
      <c r="Q30" s="1">
        <f>'Dec 2022'!Q30+'Jan 2023'!P30</f>
        <v>0</v>
      </c>
      <c r="R30" s="1">
        <v>0</v>
      </c>
      <c r="S30" s="1">
        <f>'Dec 2022'!S30+'Jan 2023'!R30</f>
        <v>0</v>
      </c>
      <c r="T30" s="1">
        <f t="shared" si="2"/>
        <v>23.25</v>
      </c>
      <c r="U30" s="1">
        <f t="shared" si="3"/>
        <v>3914.2869999999994</v>
      </c>
      <c r="W30" s="146"/>
    </row>
    <row r="31" spans="1:23" s="7" customFormat="1" ht="44.25" customHeight="1">
      <c r="A31" s="131">
        <v>19</v>
      </c>
      <c r="B31" s="133" t="s">
        <v>37</v>
      </c>
      <c r="C31" s="1">
        <f>'Dec 2022'!H31</f>
        <v>4692.5470000000005</v>
      </c>
      <c r="D31" s="1">
        <v>3.8450000000000002</v>
      </c>
      <c r="E31" s="1">
        <f>'Dec 2022'!E31+'Jan 2023'!D31</f>
        <v>30.813000000000002</v>
      </c>
      <c r="F31" s="1">
        <v>0</v>
      </c>
      <c r="G31" s="1">
        <f>'Dec 2022'!G31+'Jan 2023'!F31</f>
        <v>0</v>
      </c>
      <c r="H31" s="1">
        <f t="shared" si="0"/>
        <v>4696.3920000000007</v>
      </c>
      <c r="I31" s="1">
        <f>'Dec 2022'!N31</f>
        <v>107.69000000000003</v>
      </c>
      <c r="J31" s="1">
        <v>0</v>
      </c>
      <c r="K31" s="1">
        <f>'Dec 2022'!K31+'Jan 2023'!J31</f>
        <v>0.06</v>
      </c>
      <c r="L31" s="1">
        <v>0</v>
      </c>
      <c r="M31" s="1">
        <f>'Dec 2022'!M31+'Jan 2023'!L31</f>
        <v>0</v>
      </c>
      <c r="N31" s="1">
        <f t="shared" si="1"/>
        <v>107.69000000000003</v>
      </c>
      <c r="O31" s="1">
        <f>'Dec 2022'!T31</f>
        <v>14.850000000000001</v>
      </c>
      <c r="P31" s="1">
        <v>0</v>
      </c>
      <c r="Q31" s="1">
        <f>'Dec 2022'!Q31+'Jan 2023'!P31</f>
        <v>0</v>
      </c>
      <c r="R31" s="1">
        <v>0</v>
      </c>
      <c r="S31" s="1">
        <f>'Dec 2022'!S31+'Jan 2023'!R31</f>
        <v>0</v>
      </c>
      <c r="T31" s="1">
        <f t="shared" si="2"/>
        <v>14.850000000000001</v>
      </c>
      <c r="U31" s="1">
        <f t="shared" si="3"/>
        <v>4818.9320000000007</v>
      </c>
      <c r="W31" s="146"/>
    </row>
    <row r="32" spans="1:23" ht="70.5" customHeight="1">
      <c r="A32" s="131">
        <v>20</v>
      </c>
      <c r="B32" s="133" t="s">
        <v>38</v>
      </c>
      <c r="C32" s="1">
        <f>'Dec 2022'!H32</f>
        <v>2353.6757999999995</v>
      </c>
      <c r="D32" s="1">
        <v>3.33</v>
      </c>
      <c r="E32" s="1">
        <f>'Dec 2022'!E32+'Jan 2023'!D32</f>
        <v>23.870000000000005</v>
      </c>
      <c r="F32" s="1">
        <v>0</v>
      </c>
      <c r="G32" s="1">
        <f>'Dec 2022'!G32+'Jan 2023'!F32</f>
        <v>9.7200000000000006</v>
      </c>
      <c r="H32" s="1">
        <f t="shared" si="0"/>
        <v>2357.0057999999995</v>
      </c>
      <c r="I32" s="1">
        <f>'Dec 2022'!N32</f>
        <v>88.736000000000004</v>
      </c>
      <c r="J32" s="1">
        <v>0.62</v>
      </c>
      <c r="K32" s="1">
        <f>'Dec 2022'!K32+'Jan 2023'!J32</f>
        <v>6.59</v>
      </c>
      <c r="L32" s="1">
        <v>0</v>
      </c>
      <c r="M32" s="1">
        <f>'Dec 2022'!M32+'Jan 2023'!L32</f>
        <v>0</v>
      </c>
      <c r="N32" s="1">
        <f t="shared" si="1"/>
        <v>89.356000000000009</v>
      </c>
      <c r="O32" s="1">
        <f>'Dec 2022'!T32</f>
        <v>67.551999999999992</v>
      </c>
      <c r="P32" s="1">
        <v>0</v>
      </c>
      <c r="Q32" s="1">
        <f>'Dec 2022'!Q32+'Jan 2023'!P32</f>
        <v>0</v>
      </c>
      <c r="R32" s="1">
        <v>0</v>
      </c>
      <c r="S32" s="1">
        <f>'Dec 2022'!S32+'Jan 2023'!R32</f>
        <v>0</v>
      </c>
      <c r="T32" s="1">
        <f t="shared" si="2"/>
        <v>67.551999999999992</v>
      </c>
      <c r="U32" s="1">
        <f t="shared" si="3"/>
        <v>2513.9137999999998</v>
      </c>
      <c r="W32" s="146"/>
    </row>
    <row r="33" spans="1:23" s="7" customFormat="1" ht="38.25" customHeight="1">
      <c r="A33" s="130"/>
      <c r="B33" s="132" t="s">
        <v>65</v>
      </c>
      <c r="C33" s="2">
        <f>SUM(C29:C32)</f>
        <v>15592.8408</v>
      </c>
      <c r="D33" s="2">
        <f t="shared" ref="D33:U33" si="10">SUM(D29:D32)</f>
        <v>30.864999999999995</v>
      </c>
      <c r="E33" s="2">
        <f t="shared" si="10"/>
        <v>353.96300000000002</v>
      </c>
      <c r="F33" s="2">
        <f t="shared" si="10"/>
        <v>0</v>
      </c>
      <c r="G33" s="2">
        <f t="shared" si="10"/>
        <v>9.7200000000000006</v>
      </c>
      <c r="H33" s="2">
        <f t="shared" si="10"/>
        <v>15623.7058</v>
      </c>
      <c r="I33" s="2">
        <f t="shared" si="10"/>
        <v>516.10300000000007</v>
      </c>
      <c r="J33" s="2">
        <f t="shared" si="10"/>
        <v>1.06</v>
      </c>
      <c r="K33" s="2">
        <f t="shared" si="10"/>
        <v>96.79</v>
      </c>
      <c r="L33" s="2">
        <f t="shared" si="10"/>
        <v>0</v>
      </c>
      <c r="M33" s="2">
        <f t="shared" si="10"/>
        <v>0</v>
      </c>
      <c r="N33" s="2">
        <f t="shared" si="10"/>
        <v>517.16300000000001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10"/>
        <v>140.172</v>
      </c>
      <c r="U33" s="2">
        <f t="shared" si="10"/>
        <v>16281.040800000001</v>
      </c>
    </row>
    <row r="34" spans="1:23" ht="38.25" customHeight="1">
      <c r="A34" s="131">
        <v>21</v>
      </c>
      <c r="B34" s="133" t="s">
        <v>39</v>
      </c>
      <c r="C34" s="1">
        <f>'Dec 2022'!H34</f>
        <v>4569.62</v>
      </c>
      <c r="D34" s="1">
        <v>7.25</v>
      </c>
      <c r="E34" s="1">
        <f>'Dec 2022'!E34+'Jan 2023'!D34</f>
        <v>147.65999999999997</v>
      </c>
      <c r="F34" s="1">
        <v>0</v>
      </c>
      <c r="G34" s="1">
        <f>'Dec 2022'!G34+'Jan 2023'!F34</f>
        <v>9.89</v>
      </c>
      <c r="H34" s="1">
        <f t="shared" si="0"/>
        <v>4576.87</v>
      </c>
      <c r="I34" s="1">
        <f>'Dec 2022'!N34</f>
        <v>107.38999999999999</v>
      </c>
      <c r="J34" s="1">
        <v>0.69</v>
      </c>
      <c r="K34" s="1">
        <f>'Dec 2022'!K34+'Jan 2023'!J34</f>
        <v>108.07999999999998</v>
      </c>
      <c r="L34" s="1">
        <v>0</v>
      </c>
      <c r="M34" s="1">
        <f>'Dec 2022'!M34+'Jan 2023'!L34</f>
        <v>0</v>
      </c>
      <c r="N34" s="1">
        <f t="shared" si="1"/>
        <v>108.07999999999998</v>
      </c>
      <c r="O34" s="1">
        <f>'Dec 2022'!T34</f>
        <v>72.7</v>
      </c>
      <c r="P34" s="1">
        <v>0</v>
      </c>
      <c r="Q34" s="1">
        <f>'Dec 2022'!Q34+'Jan 2023'!P34</f>
        <v>72.7</v>
      </c>
      <c r="R34" s="1">
        <v>0</v>
      </c>
      <c r="S34" s="1">
        <f>'Dec 2022'!S34+'Jan 2023'!R34</f>
        <v>0</v>
      </c>
      <c r="T34" s="1">
        <f t="shared" si="2"/>
        <v>72.7</v>
      </c>
      <c r="U34" s="1">
        <f t="shared" si="3"/>
        <v>4757.6499999999996</v>
      </c>
    </row>
    <row r="35" spans="1:23" ht="38.25" customHeight="1">
      <c r="A35" s="131">
        <v>22</v>
      </c>
      <c r="B35" s="133" t="s">
        <v>40</v>
      </c>
      <c r="C35" s="1">
        <f>'Dec 2022'!H35</f>
        <v>6587.6299999999974</v>
      </c>
      <c r="D35" s="1">
        <v>18.510000000000002</v>
      </c>
      <c r="E35" s="1">
        <f>'Dec 2022'!E35+'Jan 2023'!D35</f>
        <v>396.56</v>
      </c>
      <c r="F35" s="1">
        <v>0</v>
      </c>
      <c r="G35" s="1">
        <f>'Dec 2022'!G35+'Jan 2023'!F35</f>
        <v>0</v>
      </c>
      <c r="H35" s="1">
        <f t="shared" si="0"/>
        <v>6606.1399999999976</v>
      </c>
      <c r="I35" s="1">
        <f>'Dec 2022'!N35</f>
        <v>34.130000000000003</v>
      </c>
      <c r="J35" s="1">
        <v>0</v>
      </c>
      <c r="K35" s="1">
        <f>'Dec 2022'!K35+'Jan 2023'!J35</f>
        <v>27.21</v>
      </c>
      <c r="L35" s="1">
        <v>0</v>
      </c>
      <c r="M35" s="1">
        <f>'Dec 2022'!M35+'Jan 2023'!L35</f>
        <v>0</v>
      </c>
      <c r="N35" s="1">
        <f t="shared" si="1"/>
        <v>34.130000000000003</v>
      </c>
      <c r="O35" s="1">
        <f>'Dec 2022'!T35</f>
        <v>90.800000000000011</v>
      </c>
      <c r="P35" s="1">
        <v>0</v>
      </c>
      <c r="Q35" s="1">
        <f>'Dec 2022'!Q35+'Jan 2023'!P35</f>
        <v>32.380000000000003</v>
      </c>
      <c r="R35" s="1">
        <v>0</v>
      </c>
      <c r="S35" s="1">
        <f>'Dec 2022'!S35+'Jan 2023'!R35</f>
        <v>0</v>
      </c>
      <c r="T35" s="1">
        <f t="shared" si="2"/>
        <v>90.800000000000011</v>
      </c>
      <c r="U35" s="1">
        <f t="shared" si="3"/>
        <v>6731.0699999999979</v>
      </c>
    </row>
    <row r="36" spans="1:23" s="7" customFormat="1" ht="38.25" customHeight="1">
      <c r="A36" s="131">
        <v>23</v>
      </c>
      <c r="B36" s="133" t="s">
        <v>41</v>
      </c>
      <c r="C36" s="1">
        <f>'Dec 2022'!H36</f>
        <v>3646.3</v>
      </c>
      <c r="D36" s="1">
        <v>17.100000000000001</v>
      </c>
      <c r="E36" s="1">
        <f>'Dec 2022'!E36+'Jan 2023'!D36</f>
        <v>212.29999999999998</v>
      </c>
      <c r="F36" s="1">
        <v>0</v>
      </c>
      <c r="G36" s="1">
        <f>'Dec 2022'!G36+'Jan 2023'!F36</f>
        <v>0</v>
      </c>
      <c r="H36" s="1">
        <f t="shared" si="0"/>
        <v>3663.4</v>
      </c>
      <c r="I36" s="1">
        <f>'Dec 2022'!N36</f>
        <v>30.250000000000039</v>
      </c>
      <c r="J36" s="1">
        <v>0</v>
      </c>
      <c r="K36" s="1">
        <f>'Dec 2022'!K36+'Jan 2023'!J36</f>
        <v>5.2</v>
      </c>
      <c r="L36" s="1">
        <v>0</v>
      </c>
      <c r="M36" s="1">
        <f>'Dec 2022'!M36+'Jan 2023'!L36</f>
        <v>4.63</v>
      </c>
      <c r="N36" s="1">
        <f t="shared" si="1"/>
        <v>30.250000000000039</v>
      </c>
      <c r="O36" s="1">
        <f>'Dec 2022'!T36</f>
        <v>36.379999999999995</v>
      </c>
      <c r="P36" s="1">
        <v>0</v>
      </c>
      <c r="Q36" s="1">
        <f>'Dec 2022'!Q36+'Jan 2023'!P36</f>
        <v>19.29</v>
      </c>
      <c r="R36" s="1">
        <v>0</v>
      </c>
      <c r="S36" s="1">
        <f>'Dec 2022'!S36+'Jan 2023'!R36</f>
        <v>0</v>
      </c>
      <c r="T36" s="1">
        <f t="shared" si="2"/>
        <v>36.379999999999995</v>
      </c>
      <c r="U36" s="1">
        <f t="shared" si="3"/>
        <v>3730.03</v>
      </c>
    </row>
    <row r="37" spans="1:23" s="7" customFormat="1" ht="38.25" customHeight="1">
      <c r="A37" s="131">
        <v>24</v>
      </c>
      <c r="B37" s="133" t="s">
        <v>42</v>
      </c>
      <c r="C37" s="1">
        <f>'Dec 2022'!H37</f>
        <v>5074.659999999998</v>
      </c>
      <c r="D37" s="1">
        <v>6.29</v>
      </c>
      <c r="E37" s="1">
        <f>'Dec 2022'!E37+'Jan 2023'!D37</f>
        <v>292.83000000000004</v>
      </c>
      <c r="F37" s="1">
        <v>0</v>
      </c>
      <c r="G37" s="1">
        <f>'Dec 2022'!G37+'Jan 2023'!F37</f>
        <v>0</v>
      </c>
      <c r="H37" s="1">
        <f t="shared" si="0"/>
        <v>5080.949999999998</v>
      </c>
      <c r="I37" s="1">
        <f>'Dec 2022'!N37</f>
        <v>26.700000000000003</v>
      </c>
      <c r="J37" s="1">
        <v>0</v>
      </c>
      <c r="K37" s="1">
        <f>'Dec 2022'!K37+'Jan 2023'!J37</f>
        <v>14.27</v>
      </c>
      <c r="L37" s="1">
        <v>0</v>
      </c>
      <c r="M37" s="1">
        <f>'Dec 2022'!M37+'Jan 2023'!L37</f>
        <v>1.06</v>
      </c>
      <c r="N37" s="1">
        <f t="shared" si="1"/>
        <v>26.700000000000003</v>
      </c>
      <c r="O37" s="1">
        <f>'Dec 2022'!T37</f>
        <v>3.0599999999999996</v>
      </c>
      <c r="P37" s="1">
        <v>0</v>
      </c>
      <c r="Q37" s="1">
        <f>'Dec 2022'!Q37+'Jan 2023'!P37</f>
        <v>0</v>
      </c>
      <c r="R37" s="1">
        <v>0</v>
      </c>
      <c r="S37" s="1">
        <f>'Dec 2022'!S37+'Jan 2023'!R37</f>
        <v>3.46</v>
      </c>
      <c r="T37" s="1">
        <f t="shared" si="2"/>
        <v>3.0599999999999996</v>
      </c>
      <c r="U37" s="1">
        <f t="shared" si="3"/>
        <v>5110.7099999999982</v>
      </c>
    </row>
    <row r="38" spans="1:23" s="7" customFormat="1" ht="38.25" customHeight="1">
      <c r="A38" s="130"/>
      <c r="B38" s="132" t="s">
        <v>43</v>
      </c>
      <c r="C38" s="2">
        <f>SUM(C34:C37)</f>
        <v>19878.209999999992</v>
      </c>
      <c r="D38" s="2">
        <f t="shared" ref="D38:U38" si="11">SUM(D34:D37)</f>
        <v>49.15</v>
      </c>
      <c r="E38" s="2">
        <f t="shared" si="11"/>
        <v>1049.3499999999999</v>
      </c>
      <c r="F38" s="2">
        <f t="shared" si="11"/>
        <v>0</v>
      </c>
      <c r="G38" s="2">
        <f t="shared" si="11"/>
        <v>9.89</v>
      </c>
      <c r="H38" s="2">
        <f t="shared" si="11"/>
        <v>19927.359999999997</v>
      </c>
      <c r="I38" s="2">
        <f t="shared" si="11"/>
        <v>198.47000000000003</v>
      </c>
      <c r="J38" s="2">
        <f t="shared" si="11"/>
        <v>0.69</v>
      </c>
      <c r="K38" s="2">
        <f t="shared" si="11"/>
        <v>154.76</v>
      </c>
      <c r="L38" s="2">
        <f t="shared" si="11"/>
        <v>0</v>
      </c>
      <c r="M38" s="2">
        <f t="shared" si="11"/>
        <v>5.6899999999999995</v>
      </c>
      <c r="N38" s="2">
        <f t="shared" si="11"/>
        <v>199.16000000000003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11"/>
        <v>202.94</v>
      </c>
      <c r="U38" s="2">
        <f t="shared" si="11"/>
        <v>20329.459999999995</v>
      </c>
    </row>
    <row r="39" spans="1:23" s="7" customFormat="1" ht="38.25" customHeight="1">
      <c r="A39" s="130"/>
      <c r="B39" s="132" t="s">
        <v>44</v>
      </c>
      <c r="C39" s="2">
        <f>C38+C33+C28</f>
        <v>42742.445799999994</v>
      </c>
      <c r="D39" s="2">
        <f t="shared" ref="D39:U39" si="12">D38+D33+D28</f>
        <v>88.044999999999987</v>
      </c>
      <c r="E39" s="2">
        <f t="shared" si="12"/>
        <v>1553.0529999999999</v>
      </c>
      <c r="F39" s="2">
        <f t="shared" si="12"/>
        <v>0</v>
      </c>
      <c r="G39" s="2">
        <f t="shared" si="12"/>
        <v>19.61</v>
      </c>
      <c r="H39" s="2">
        <f t="shared" si="12"/>
        <v>42830.4908</v>
      </c>
      <c r="I39" s="2">
        <f t="shared" si="12"/>
        <v>1434.6510000000001</v>
      </c>
      <c r="J39" s="2">
        <f t="shared" si="12"/>
        <v>4.79</v>
      </c>
      <c r="K39" s="2">
        <f t="shared" si="12"/>
        <v>313.15000000000003</v>
      </c>
      <c r="L39" s="2">
        <f t="shared" si="12"/>
        <v>0</v>
      </c>
      <c r="M39" s="2">
        <f t="shared" si="12"/>
        <v>5.6899999999999995</v>
      </c>
      <c r="N39" s="2">
        <f t="shared" si="12"/>
        <v>1439.441</v>
      </c>
      <c r="O39" s="2">
        <f t="shared" si="12"/>
        <v>392.96199999999999</v>
      </c>
      <c r="P39" s="2">
        <f t="shared" si="12"/>
        <v>0.17</v>
      </c>
      <c r="Q39" s="2">
        <f t="shared" si="12"/>
        <v>124.79</v>
      </c>
      <c r="R39" s="2">
        <f t="shared" si="12"/>
        <v>0</v>
      </c>
      <c r="S39" s="2">
        <f t="shared" si="12"/>
        <v>26.66</v>
      </c>
      <c r="T39" s="2">
        <f t="shared" si="12"/>
        <v>393.13199999999995</v>
      </c>
      <c r="U39" s="2">
        <f t="shared" si="12"/>
        <v>44663.063799999996</v>
      </c>
      <c r="V39" s="2">
        <f t="shared" ref="V39" si="13">V38+V33+V28</f>
        <v>0</v>
      </c>
      <c r="W39" s="2"/>
    </row>
    <row r="40" spans="1:23" ht="38.25" customHeight="1">
      <c r="A40" s="131">
        <v>25</v>
      </c>
      <c r="B40" s="133" t="s">
        <v>45</v>
      </c>
      <c r="C40" s="1">
        <f>'Dec 2022'!H40</f>
        <v>11787.733999999999</v>
      </c>
      <c r="D40" s="1">
        <v>22.84</v>
      </c>
      <c r="E40" s="1">
        <f>'Dec 2022'!E40+'Jan 2023'!D40</f>
        <v>420.13</v>
      </c>
      <c r="F40" s="1">
        <v>0</v>
      </c>
      <c r="G40" s="1">
        <f>'Dec 2022'!G40+'Jan 2023'!F40</f>
        <v>0</v>
      </c>
      <c r="H40" s="1">
        <f t="shared" si="0"/>
        <v>11810.573999999999</v>
      </c>
      <c r="I40" s="1">
        <f>'Dec 2022'!N40</f>
        <v>198.73</v>
      </c>
      <c r="J40" s="1">
        <v>0</v>
      </c>
      <c r="K40" s="1">
        <f>'Dec 2022'!K40+'Jan 2023'!J40</f>
        <v>0</v>
      </c>
      <c r="L40" s="1">
        <v>0</v>
      </c>
      <c r="M40" s="1">
        <f>'Dec 2022'!M40+'Jan 2023'!L40</f>
        <v>0</v>
      </c>
      <c r="N40" s="1">
        <f t="shared" si="1"/>
        <v>198.73</v>
      </c>
      <c r="O40" s="1">
        <f>'Dec 2022'!T40</f>
        <v>84.65</v>
      </c>
      <c r="P40" s="1">
        <v>11.14</v>
      </c>
      <c r="Q40" s="1">
        <f>'Dec 2022'!Q40+'Jan 2023'!P40</f>
        <v>95.79</v>
      </c>
      <c r="R40" s="1">
        <v>0</v>
      </c>
      <c r="S40" s="1">
        <f>'Dec 2022'!S40+'Jan 2023'!R40</f>
        <v>0</v>
      </c>
      <c r="T40" s="1">
        <f t="shared" si="2"/>
        <v>95.79</v>
      </c>
      <c r="U40" s="1">
        <f t="shared" si="3"/>
        <v>12105.093999999999</v>
      </c>
    </row>
    <row r="41" spans="1:23" ht="38.25" customHeight="1">
      <c r="A41" s="131">
        <v>26</v>
      </c>
      <c r="B41" s="133" t="s">
        <v>46</v>
      </c>
      <c r="C41" s="1">
        <f>'Dec 2022'!H41</f>
        <v>8236.5389999999934</v>
      </c>
      <c r="D41" s="1">
        <v>25.79</v>
      </c>
      <c r="E41" s="1">
        <f>'Dec 2022'!E41+'Jan 2023'!D41</f>
        <v>764.29200000000003</v>
      </c>
      <c r="F41" s="1">
        <v>0</v>
      </c>
      <c r="G41" s="1">
        <f>'Dec 2022'!G41+'Jan 2023'!F41</f>
        <v>0</v>
      </c>
      <c r="H41" s="1">
        <f t="shared" si="0"/>
        <v>8262.3289999999943</v>
      </c>
      <c r="I41" s="1">
        <f>'Dec 2022'!N41</f>
        <v>8.67</v>
      </c>
      <c r="J41" s="1">
        <v>0</v>
      </c>
      <c r="K41" s="1">
        <f>'Dec 2022'!K41+'Jan 2023'!J41</f>
        <v>0</v>
      </c>
      <c r="L41" s="1">
        <v>0</v>
      </c>
      <c r="M41" s="1">
        <f>'Dec 2022'!M41+'Jan 2023'!L41</f>
        <v>0</v>
      </c>
      <c r="N41" s="1">
        <f t="shared" si="1"/>
        <v>8.67</v>
      </c>
      <c r="O41" s="1">
        <f>'Dec 2022'!T41</f>
        <v>113.27000000000001</v>
      </c>
      <c r="P41" s="1">
        <v>14.01</v>
      </c>
      <c r="Q41" s="1">
        <f>'Dec 2022'!Q41+'Jan 2023'!P41</f>
        <v>127.28000000000002</v>
      </c>
      <c r="R41" s="1">
        <v>0</v>
      </c>
      <c r="S41" s="1">
        <f>'Dec 2022'!S41+'Jan 2023'!R41</f>
        <v>0</v>
      </c>
      <c r="T41" s="1">
        <f t="shared" si="2"/>
        <v>127.28000000000002</v>
      </c>
      <c r="U41" s="1">
        <f t="shared" si="3"/>
        <v>8398.278999999995</v>
      </c>
    </row>
    <row r="42" spans="1:23" s="7" customFormat="1" ht="38.25" customHeight="1">
      <c r="A42" s="131">
        <v>27</v>
      </c>
      <c r="B42" s="133" t="s">
        <v>47</v>
      </c>
      <c r="C42" s="1">
        <f>'Dec 2022'!H42</f>
        <v>13887.388999999996</v>
      </c>
      <c r="D42" s="1">
        <v>11.314</v>
      </c>
      <c r="E42" s="1">
        <f>'Dec 2022'!E42+'Jan 2023'!D42</f>
        <v>93.26400000000001</v>
      </c>
      <c r="F42" s="1">
        <v>0</v>
      </c>
      <c r="G42" s="1">
        <f>'Dec 2022'!G42+'Jan 2023'!F42</f>
        <v>0</v>
      </c>
      <c r="H42" s="1">
        <f t="shared" si="0"/>
        <v>13898.702999999996</v>
      </c>
      <c r="I42" s="1">
        <f>'Dec 2022'!N42</f>
        <v>15.62</v>
      </c>
      <c r="J42" s="1">
        <v>0</v>
      </c>
      <c r="K42" s="1">
        <f>'Dec 2022'!K42+'Jan 2023'!J42</f>
        <v>0</v>
      </c>
      <c r="L42" s="1">
        <v>0</v>
      </c>
      <c r="M42" s="1">
        <f>'Dec 2022'!M42+'Jan 2023'!L42</f>
        <v>0</v>
      </c>
      <c r="N42" s="1">
        <f t="shared" si="1"/>
        <v>15.62</v>
      </c>
      <c r="O42" s="1">
        <f>'Dec 2022'!T42</f>
        <v>150.29</v>
      </c>
      <c r="P42" s="1">
        <v>27.53</v>
      </c>
      <c r="Q42" s="1">
        <f>'Dec 2022'!Q42+'Jan 2023'!P42</f>
        <v>138.80000000000001</v>
      </c>
      <c r="R42" s="1">
        <v>0</v>
      </c>
      <c r="S42" s="1">
        <f>'Dec 2022'!S42+'Jan 2023'!R42</f>
        <v>0</v>
      </c>
      <c r="T42" s="1">
        <f t="shared" si="2"/>
        <v>177.82</v>
      </c>
      <c r="U42" s="1">
        <f t="shared" si="3"/>
        <v>14092.142999999996</v>
      </c>
    </row>
    <row r="43" spans="1:23" ht="38.25" customHeight="1">
      <c r="A43" s="131">
        <v>28</v>
      </c>
      <c r="B43" s="133" t="s">
        <v>48</v>
      </c>
      <c r="C43" s="1">
        <f>'Dec 2022'!H43</f>
        <v>4116.6200000000008</v>
      </c>
      <c r="D43" s="1">
        <v>6.72</v>
      </c>
      <c r="E43" s="1">
        <f>'Dec 2022'!E43+'Jan 2023'!D43</f>
        <v>155.86000000000001</v>
      </c>
      <c r="F43" s="1">
        <v>0</v>
      </c>
      <c r="G43" s="1">
        <f>'Dec 2022'!G43+'Jan 2023'!F43</f>
        <v>0</v>
      </c>
      <c r="H43" s="1">
        <f t="shared" si="0"/>
        <v>4123.3400000000011</v>
      </c>
      <c r="I43" s="1">
        <f>'Dec 2022'!N43</f>
        <v>3.5</v>
      </c>
      <c r="J43" s="1">
        <v>0</v>
      </c>
      <c r="K43" s="1">
        <f>'Dec 2022'!K43+'Jan 2023'!J43</f>
        <v>0</v>
      </c>
      <c r="L43" s="1">
        <v>0</v>
      </c>
      <c r="M43" s="1">
        <f>'Dec 2022'!M43+'Jan 2023'!L43</f>
        <v>0</v>
      </c>
      <c r="N43" s="1">
        <f t="shared" si="1"/>
        <v>3.5</v>
      </c>
      <c r="O43" s="1">
        <f>'Dec 2022'!T43</f>
        <v>29.8</v>
      </c>
      <c r="P43" s="1">
        <v>0</v>
      </c>
      <c r="Q43" s="1">
        <f>'Dec 2022'!Q43+'Jan 2023'!P43</f>
        <v>29.8</v>
      </c>
      <c r="R43" s="1">
        <v>0</v>
      </c>
      <c r="S43" s="1">
        <f>'Dec 2022'!S43+'Jan 2023'!R43</f>
        <v>0</v>
      </c>
      <c r="T43" s="1">
        <f t="shared" si="2"/>
        <v>29.8</v>
      </c>
      <c r="U43" s="1">
        <f t="shared" si="3"/>
        <v>4156.6400000000012</v>
      </c>
    </row>
    <row r="44" spans="1:23" s="7" customFormat="1" ht="38.25" customHeight="1">
      <c r="A44" s="130"/>
      <c r="B44" s="132" t="s">
        <v>49</v>
      </c>
      <c r="C44" s="2">
        <f>SUM(C40:C43)</f>
        <v>38028.281999999992</v>
      </c>
      <c r="D44" s="2">
        <f t="shared" ref="D44:U44" si="14">SUM(D40:D43)</f>
        <v>66.664000000000001</v>
      </c>
      <c r="E44" s="2">
        <f t="shared" si="14"/>
        <v>1433.5460000000003</v>
      </c>
      <c r="F44" s="2">
        <f t="shared" si="14"/>
        <v>0</v>
      </c>
      <c r="G44" s="2">
        <f t="shared" si="14"/>
        <v>0</v>
      </c>
      <c r="H44" s="2">
        <f t="shared" si="14"/>
        <v>38094.945999999989</v>
      </c>
      <c r="I44" s="2">
        <f t="shared" si="14"/>
        <v>226.51999999999998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">
        <f t="shared" si="14"/>
        <v>226.51999999999998</v>
      </c>
      <c r="O44" s="2">
        <f t="shared" si="14"/>
        <v>378.01000000000005</v>
      </c>
      <c r="P44" s="2">
        <f t="shared" si="14"/>
        <v>52.68</v>
      </c>
      <c r="Q44" s="2">
        <f t="shared" si="14"/>
        <v>391.67</v>
      </c>
      <c r="R44" s="2">
        <f t="shared" si="14"/>
        <v>0</v>
      </c>
      <c r="S44" s="2">
        <f t="shared" si="14"/>
        <v>0</v>
      </c>
      <c r="T44" s="2">
        <f t="shared" si="14"/>
        <v>430.69</v>
      </c>
      <c r="U44" s="2">
        <f t="shared" si="14"/>
        <v>38752.155999999988</v>
      </c>
    </row>
    <row r="45" spans="1:23" ht="38.25" customHeight="1">
      <c r="A45" s="131">
        <v>29</v>
      </c>
      <c r="B45" s="133" t="s">
        <v>50</v>
      </c>
      <c r="C45" s="1">
        <f>'Dec 2022'!H45</f>
        <v>8268.5421000000006</v>
      </c>
      <c r="D45" s="1">
        <v>59.67</v>
      </c>
      <c r="E45" s="1">
        <f>'Dec 2022'!E45+'Jan 2023'!D45</f>
        <v>276.23</v>
      </c>
      <c r="F45" s="1">
        <v>0</v>
      </c>
      <c r="G45" s="1">
        <f>'Dec 2022'!G45+'Jan 2023'!F45</f>
        <v>0</v>
      </c>
      <c r="H45" s="1">
        <f t="shared" si="0"/>
        <v>8328.2121000000006</v>
      </c>
      <c r="I45" s="1">
        <f>'Dec 2022'!N45</f>
        <v>260.90999999999997</v>
      </c>
      <c r="J45" s="1">
        <v>0.06</v>
      </c>
      <c r="K45" s="1">
        <f>'Dec 2022'!K45+'Jan 2023'!J45</f>
        <v>219.04999999999998</v>
      </c>
      <c r="L45" s="1">
        <v>0</v>
      </c>
      <c r="M45" s="1">
        <f>'Dec 2022'!M45+'Jan 2023'!L45</f>
        <v>0</v>
      </c>
      <c r="N45" s="1">
        <f t="shared" si="1"/>
        <v>260.96999999999997</v>
      </c>
      <c r="O45" s="1">
        <f>'Dec 2022'!T45</f>
        <v>84.27</v>
      </c>
      <c r="P45" s="1">
        <v>0</v>
      </c>
      <c r="Q45" s="1">
        <f>'Dec 2022'!Q45+'Jan 2023'!P45</f>
        <v>69.52</v>
      </c>
      <c r="R45" s="1">
        <v>0</v>
      </c>
      <c r="S45" s="1">
        <f>'Dec 2022'!S45+'Jan 2023'!R45</f>
        <v>0</v>
      </c>
      <c r="T45" s="1">
        <f t="shared" si="2"/>
        <v>84.27</v>
      </c>
      <c r="U45" s="1">
        <f t="shared" si="3"/>
        <v>8673.4521000000004</v>
      </c>
    </row>
    <row r="46" spans="1:23" ht="38.25" customHeight="1">
      <c r="A46" s="131">
        <v>30</v>
      </c>
      <c r="B46" s="133" t="s">
        <v>51</v>
      </c>
      <c r="C46" s="1">
        <f>'Dec 2022'!H46</f>
        <v>7824.7650000000021</v>
      </c>
      <c r="D46" s="1">
        <v>19.04</v>
      </c>
      <c r="E46" s="1">
        <f>'Dec 2022'!E46+'Jan 2023'!D46</f>
        <v>105.31</v>
      </c>
      <c r="F46" s="1">
        <v>0</v>
      </c>
      <c r="G46" s="1">
        <f>'Dec 2022'!G46+'Jan 2023'!F46</f>
        <v>0</v>
      </c>
      <c r="H46" s="1">
        <f t="shared" si="0"/>
        <v>7843.8050000000021</v>
      </c>
      <c r="I46" s="1">
        <f>'Dec 2022'!N46</f>
        <v>0</v>
      </c>
      <c r="J46" s="1">
        <v>0</v>
      </c>
      <c r="K46" s="1">
        <f>'Dec 2022'!K46+'Jan 2023'!J46</f>
        <v>0</v>
      </c>
      <c r="L46" s="1">
        <v>0</v>
      </c>
      <c r="M46" s="1">
        <f>'Dec 2022'!M46+'Jan 2023'!L46</f>
        <v>0</v>
      </c>
      <c r="N46" s="1">
        <f t="shared" si="1"/>
        <v>0</v>
      </c>
      <c r="O46" s="1">
        <f>'Dec 2022'!T46</f>
        <v>47.03</v>
      </c>
      <c r="P46" s="1">
        <v>0</v>
      </c>
      <c r="Q46" s="1">
        <f>'Dec 2022'!Q46+'Jan 2023'!P46</f>
        <v>47.03</v>
      </c>
      <c r="R46" s="1">
        <v>0</v>
      </c>
      <c r="S46" s="1">
        <f>'Dec 2022'!S46+'Jan 2023'!R46</f>
        <v>0</v>
      </c>
      <c r="T46" s="1">
        <f t="shared" si="2"/>
        <v>47.03</v>
      </c>
      <c r="U46" s="1">
        <f t="shared" si="3"/>
        <v>7890.8350000000019</v>
      </c>
    </row>
    <row r="47" spans="1:23" s="7" customFormat="1" ht="38.25" customHeight="1">
      <c r="A47" s="131">
        <v>31</v>
      </c>
      <c r="B47" s="133" t="s">
        <v>52</v>
      </c>
      <c r="C47" s="1">
        <f>'Dec 2022'!H47</f>
        <v>8939.5699999999979</v>
      </c>
      <c r="D47" s="1">
        <v>91.55</v>
      </c>
      <c r="E47" s="1">
        <f>'Dec 2022'!E47+'Jan 2023'!D47</f>
        <v>246.48000000000002</v>
      </c>
      <c r="F47" s="1">
        <v>0</v>
      </c>
      <c r="G47" s="1">
        <f>'Dec 2022'!G47+'Jan 2023'!F47</f>
        <v>0</v>
      </c>
      <c r="H47" s="1">
        <f t="shared" si="0"/>
        <v>9031.1199999999972</v>
      </c>
      <c r="I47" s="1">
        <f>'Dec 2022'!N47</f>
        <v>3.13</v>
      </c>
      <c r="J47" s="1">
        <v>0</v>
      </c>
      <c r="K47" s="1">
        <f>'Dec 2022'!K47+'Jan 2023'!J47</f>
        <v>0</v>
      </c>
      <c r="L47" s="1">
        <v>0</v>
      </c>
      <c r="M47" s="1">
        <f>'Dec 2022'!M47+'Jan 2023'!L47</f>
        <v>0</v>
      </c>
      <c r="N47" s="1">
        <f t="shared" si="1"/>
        <v>3.13</v>
      </c>
      <c r="O47" s="1">
        <f>'Dec 2022'!T47</f>
        <v>118.94999999999999</v>
      </c>
      <c r="P47" s="1">
        <v>0</v>
      </c>
      <c r="Q47" s="1">
        <f>'Dec 2022'!Q47+'Jan 2023'!P47</f>
        <v>118.91999999999999</v>
      </c>
      <c r="R47" s="1">
        <v>0</v>
      </c>
      <c r="S47" s="1">
        <f>'Dec 2022'!S47+'Jan 2023'!R47</f>
        <v>0</v>
      </c>
      <c r="T47" s="1">
        <f t="shared" si="2"/>
        <v>118.94999999999999</v>
      </c>
      <c r="U47" s="1">
        <f t="shared" si="3"/>
        <v>9153.1999999999971</v>
      </c>
    </row>
    <row r="48" spans="1:23" s="7" customFormat="1" ht="38.25" customHeight="1">
      <c r="A48" s="131">
        <v>32</v>
      </c>
      <c r="B48" s="133" t="s">
        <v>53</v>
      </c>
      <c r="C48" s="1">
        <f>'Dec 2022'!H48</f>
        <v>8589.3589999999986</v>
      </c>
      <c r="D48" s="1">
        <v>7.14</v>
      </c>
      <c r="E48" s="1">
        <f>'Dec 2022'!E48+'Jan 2023'!D48</f>
        <v>399.71</v>
      </c>
      <c r="F48" s="1">
        <v>0</v>
      </c>
      <c r="G48" s="1">
        <f>'Dec 2022'!G48+'Jan 2023'!F48</f>
        <v>0</v>
      </c>
      <c r="H48" s="1">
        <f t="shared" si="0"/>
        <v>8596.498999999998</v>
      </c>
      <c r="I48" s="1">
        <f>'Dec 2022'!N48</f>
        <v>5.0249999999999995</v>
      </c>
      <c r="J48" s="1">
        <v>0</v>
      </c>
      <c r="K48" s="1">
        <f>'Dec 2022'!K48+'Jan 2023'!J48</f>
        <v>0</v>
      </c>
      <c r="L48" s="1">
        <v>0</v>
      </c>
      <c r="M48" s="1">
        <f>'Dec 2022'!M48+'Jan 2023'!L48</f>
        <v>0</v>
      </c>
      <c r="N48" s="1">
        <f t="shared" si="1"/>
        <v>5.0249999999999995</v>
      </c>
      <c r="O48" s="1">
        <f>'Dec 2022'!T48</f>
        <v>4.21</v>
      </c>
      <c r="P48" s="1">
        <v>0</v>
      </c>
      <c r="Q48" s="1">
        <f>'Dec 2022'!Q48+'Jan 2023'!P48</f>
        <v>4.21</v>
      </c>
      <c r="R48" s="1">
        <v>0</v>
      </c>
      <c r="S48" s="1">
        <f>'Dec 2022'!S48+'Jan 2023'!R48</f>
        <v>0</v>
      </c>
      <c r="T48" s="1">
        <f t="shared" si="2"/>
        <v>4.21</v>
      </c>
      <c r="U48" s="1">
        <f t="shared" si="3"/>
        <v>8605.7339999999967</v>
      </c>
    </row>
    <row r="49" spans="1:21" s="7" customFormat="1" ht="38.25" customHeight="1">
      <c r="A49" s="130"/>
      <c r="B49" s="132" t="s">
        <v>54</v>
      </c>
      <c r="C49" s="2">
        <f>SUM(C45:C48)</f>
        <v>33622.236099999995</v>
      </c>
      <c r="D49" s="2">
        <f t="shared" ref="D49:U49" si="15">SUM(D45:D48)</f>
        <v>177.39999999999998</v>
      </c>
      <c r="E49" s="2">
        <f t="shared" si="15"/>
        <v>1027.73</v>
      </c>
      <c r="F49" s="2">
        <f t="shared" si="15"/>
        <v>0</v>
      </c>
      <c r="G49" s="2">
        <f t="shared" si="15"/>
        <v>0</v>
      </c>
      <c r="H49" s="2">
        <f t="shared" si="15"/>
        <v>33799.636099999996</v>
      </c>
      <c r="I49" s="2">
        <f t="shared" si="15"/>
        <v>269.06499999999994</v>
      </c>
      <c r="J49" s="2">
        <f t="shared" si="15"/>
        <v>0.06</v>
      </c>
      <c r="K49" s="2">
        <f t="shared" si="15"/>
        <v>219.04999999999998</v>
      </c>
      <c r="L49" s="2">
        <f t="shared" si="15"/>
        <v>0</v>
      </c>
      <c r="M49" s="2">
        <f t="shared" si="15"/>
        <v>0</v>
      </c>
      <c r="N49" s="2">
        <f t="shared" si="15"/>
        <v>269.12499999999994</v>
      </c>
      <c r="O49" s="2">
        <f t="shared" si="15"/>
        <v>254.46</v>
      </c>
      <c r="P49" s="2">
        <f t="shared" si="15"/>
        <v>0</v>
      </c>
      <c r="Q49" s="2">
        <f t="shared" si="15"/>
        <v>239.67999999999998</v>
      </c>
      <c r="R49" s="2">
        <f t="shared" si="15"/>
        <v>0</v>
      </c>
      <c r="S49" s="2">
        <f t="shared" si="15"/>
        <v>0</v>
      </c>
      <c r="T49" s="2">
        <f t="shared" si="15"/>
        <v>254.46</v>
      </c>
      <c r="U49" s="2">
        <f t="shared" si="15"/>
        <v>34323.221099999995</v>
      </c>
    </row>
    <row r="50" spans="1:21" s="7" customFormat="1" ht="38.25" customHeight="1">
      <c r="A50" s="130"/>
      <c r="B50" s="132" t="s">
        <v>55</v>
      </c>
      <c r="C50" s="2">
        <f>C49+C44</f>
        <v>71650.518099999987</v>
      </c>
      <c r="D50" s="2">
        <f t="shared" ref="D50:U50" si="16">D49+D44</f>
        <v>244.06399999999996</v>
      </c>
      <c r="E50" s="2">
        <f t="shared" si="16"/>
        <v>2461.2760000000003</v>
      </c>
      <c r="F50" s="2">
        <f t="shared" si="16"/>
        <v>0</v>
      </c>
      <c r="G50" s="2">
        <f t="shared" si="16"/>
        <v>0</v>
      </c>
      <c r="H50" s="2">
        <f t="shared" si="16"/>
        <v>71894.582099999985</v>
      </c>
      <c r="I50" s="2">
        <f t="shared" si="16"/>
        <v>495.58499999999992</v>
      </c>
      <c r="J50" s="2">
        <f t="shared" si="16"/>
        <v>0.06</v>
      </c>
      <c r="K50" s="2">
        <f t="shared" si="16"/>
        <v>219.04999999999998</v>
      </c>
      <c r="L50" s="2">
        <f t="shared" si="16"/>
        <v>0</v>
      </c>
      <c r="M50" s="2">
        <f t="shared" si="16"/>
        <v>0</v>
      </c>
      <c r="N50" s="2">
        <f t="shared" si="16"/>
        <v>495.64499999999992</v>
      </c>
      <c r="O50" s="2">
        <f t="shared" si="16"/>
        <v>632.47</v>
      </c>
      <c r="P50" s="2">
        <f t="shared" si="16"/>
        <v>52.68</v>
      </c>
      <c r="Q50" s="2">
        <f t="shared" si="16"/>
        <v>631.35</v>
      </c>
      <c r="R50" s="2">
        <f t="shared" si="16"/>
        <v>0</v>
      </c>
      <c r="S50" s="2">
        <f t="shared" si="16"/>
        <v>0</v>
      </c>
      <c r="T50" s="2">
        <f t="shared" si="16"/>
        <v>685.15</v>
      </c>
      <c r="U50" s="2">
        <f t="shared" si="16"/>
        <v>73075.377099999983</v>
      </c>
    </row>
    <row r="51" spans="1:21" s="7" customFormat="1" ht="38.25" customHeight="1">
      <c r="A51" s="130"/>
      <c r="B51" s="132" t="s">
        <v>56</v>
      </c>
      <c r="C51" s="2">
        <f>C50+C39+C25</f>
        <v>118548.16989999998</v>
      </c>
      <c r="D51" s="2">
        <f t="shared" ref="D51:U51" si="17">D50+D39+D25</f>
        <v>332.5089999999999</v>
      </c>
      <c r="E51" s="2">
        <f t="shared" si="17"/>
        <v>4026.9490000000001</v>
      </c>
      <c r="F51" s="2">
        <f t="shared" si="17"/>
        <v>72.709999999999994</v>
      </c>
      <c r="G51" s="2">
        <f t="shared" si="17"/>
        <v>636.69000000000005</v>
      </c>
      <c r="H51" s="2">
        <f t="shared" si="17"/>
        <v>118807.96889999998</v>
      </c>
      <c r="I51" s="2">
        <f t="shared" si="17"/>
        <v>10447.227999999999</v>
      </c>
      <c r="J51" s="2">
        <f t="shared" si="17"/>
        <v>207.32999999999998</v>
      </c>
      <c r="K51" s="2">
        <f t="shared" si="17"/>
        <v>2068.6239999999998</v>
      </c>
      <c r="L51" s="2">
        <f t="shared" si="17"/>
        <v>0</v>
      </c>
      <c r="M51" s="2">
        <f t="shared" si="17"/>
        <v>7.85</v>
      </c>
      <c r="N51" s="2">
        <f t="shared" si="17"/>
        <v>10654.557999999999</v>
      </c>
      <c r="O51" s="2">
        <f t="shared" si="17"/>
        <v>1594.56</v>
      </c>
      <c r="P51" s="2">
        <f t="shared" si="17"/>
        <v>54.99</v>
      </c>
      <c r="Q51" s="2">
        <f t="shared" si="17"/>
        <v>760.64</v>
      </c>
      <c r="R51" s="2">
        <f t="shared" si="17"/>
        <v>4.3899999999999997</v>
      </c>
      <c r="S51" s="2">
        <f t="shared" si="17"/>
        <v>56.960000000000008</v>
      </c>
      <c r="T51" s="2">
        <f t="shared" si="17"/>
        <v>1645.1599999999999</v>
      </c>
      <c r="U51" s="2">
        <f t="shared" si="17"/>
        <v>131107.68689999997</v>
      </c>
    </row>
    <row r="52" spans="1:21" s="7" customFormat="1" ht="28.5" customHeight="1">
      <c r="A52" s="18"/>
      <c r="B52" s="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128"/>
      <c r="J53" s="128">
        <f>D51+J51+P51-F51-L51-R51</f>
        <v>517.72899999999993</v>
      </c>
      <c r="K53" s="128"/>
      <c r="L53" s="128"/>
      <c r="M53" s="128"/>
      <c r="N53" s="128"/>
      <c r="R53" s="128"/>
      <c r="U53" s="128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128"/>
      <c r="J54" s="128">
        <f>E51+K51+Q51-G51-M51-S51</f>
        <v>6154.7130000000006</v>
      </c>
      <c r="K54" s="128"/>
      <c r="L54" s="128"/>
      <c r="M54" s="128"/>
      <c r="N54" s="128"/>
      <c r="R54" s="128"/>
      <c r="T54" s="128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131107.68689999997</v>
      </c>
      <c r="K55" s="4"/>
      <c r="L55" s="4"/>
      <c r="M55" s="78"/>
      <c r="N55" s="4"/>
      <c r="P55" s="18"/>
      <c r="Q55" s="20"/>
      <c r="U55" s="20"/>
    </row>
    <row r="56" spans="1:21" ht="33" customHeight="1">
      <c r="C56" s="21"/>
      <c r="D56" s="128"/>
      <c r="E56" s="128"/>
      <c r="F56" s="128"/>
      <c r="G56" s="128"/>
      <c r="H56" s="4"/>
      <c r="I56" s="19"/>
      <c r="J56" s="128"/>
      <c r="K56" s="4"/>
      <c r="L56" s="61"/>
      <c r="M56" s="4"/>
      <c r="N56" s="11">
        <f>'[1]sep 2020 '!J56+'Jan 2023'!J53</f>
        <v>117268.63989999999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2021'!J55+'Jan 2023'!J53</f>
        <v>120734.2479</v>
      </c>
      <c r="N57" s="7"/>
      <c r="O57" s="3"/>
      <c r="P57" s="129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127"/>
      <c r="L58" s="10"/>
      <c r="M58" s="7"/>
      <c r="N58" s="29">
        <f>'[2]July 2021'!J55+'Jan 2023'!J53</f>
        <v>121522.99889999999</v>
      </c>
      <c r="O58" s="29">
        <f>'[2]April 2021'!J55+'Jan 2023'!J53</f>
        <v>120734.2479</v>
      </c>
      <c r="P58" s="129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2021'!J55+'Jan 2023'!J53</f>
        <v>120213.4369</v>
      </c>
      <c r="J59" s="143" t="s">
        <v>63</v>
      </c>
      <c r="K59" s="143"/>
      <c r="L59" s="143"/>
      <c r="M59" s="11" t="e">
        <f>#REF!+'Jan 2023'!J53</f>
        <v>#REF!</v>
      </c>
      <c r="N59" s="4"/>
    </row>
    <row r="60" spans="1:21" ht="37.5" customHeight="1">
      <c r="G60" s="4"/>
      <c r="H60" s="11">
        <f>H51+N51+T51</f>
        <v>131107.68689999997</v>
      </c>
      <c r="J60" s="143" t="s">
        <v>64</v>
      </c>
      <c r="K60" s="143"/>
      <c r="L60" s="143"/>
      <c r="M60" s="11" t="e">
        <f>#REF!+'Jan 2023'!J53</f>
        <v>#REF!</v>
      </c>
      <c r="O60" s="78"/>
    </row>
    <row r="61" spans="1:21">
      <c r="H61" s="23"/>
    </row>
    <row r="62" spans="1:21">
      <c r="G62" s="4"/>
      <c r="H62" s="11">
        <f>'[1]nov 2020'!J56+'Jan 2023'!J53</f>
        <v>119132.5799</v>
      </c>
      <c r="I62" s="24"/>
      <c r="J62" s="23"/>
    </row>
    <row r="63" spans="1:21">
      <c r="H63" s="11">
        <f>'[1]nov 2020'!J56+'Jan 2023'!J53</f>
        <v>119132.5799</v>
      </c>
      <c r="I63" s="30">
        <f>'[2]June 2021)'!J55+'Jan 2023'!J53</f>
        <v>121194.22790000001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E14:P37"/>
  <sheetViews>
    <sheetView topLeftCell="A4" zoomScaleNormal="100" workbookViewId="0">
      <selection activeCell="O25" sqref="O25"/>
    </sheetView>
  </sheetViews>
  <sheetFormatPr defaultRowHeight="15"/>
  <cols>
    <col min="1" max="5" width="9.140625" style="45"/>
    <col min="6" max="6" width="24" style="45" customWidth="1"/>
    <col min="7" max="7" width="13" style="45" customWidth="1"/>
    <col min="8" max="8" width="13.28515625" style="45" customWidth="1"/>
    <col min="9" max="9" width="9.5703125" style="45" bestFit="1" customWidth="1"/>
    <col min="10" max="11" width="9.140625" style="45"/>
    <col min="12" max="12" width="10.5703125" style="45" bestFit="1" customWidth="1"/>
    <col min="13" max="15" width="9.140625" style="45"/>
    <col min="16" max="16" width="9.28515625" style="45" bestFit="1" customWidth="1"/>
    <col min="17" max="16384" width="9.140625" style="45"/>
  </cols>
  <sheetData>
    <row r="14" spans="5:16" s="39" customFormat="1">
      <c r="F14" s="147" t="s">
        <v>66</v>
      </c>
      <c r="G14" s="147"/>
      <c r="H14" s="147"/>
      <c r="J14" s="147" t="s">
        <v>67</v>
      </c>
      <c r="K14" s="147"/>
      <c r="L14" s="147"/>
      <c r="N14" s="147" t="s">
        <v>68</v>
      </c>
      <c r="O14" s="147"/>
      <c r="P14" s="147"/>
    </row>
    <row r="15" spans="5:16" s="40" customFormat="1" ht="27" customHeight="1">
      <c r="F15" s="41" t="s">
        <v>69</v>
      </c>
      <c r="G15" s="41" t="s">
        <v>70</v>
      </c>
      <c r="H15" s="42">
        <f>'April 2022 '!C51</f>
        <v>115412.4899</v>
      </c>
      <c r="L15" s="42">
        <f>'April 2022 '!I51</f>
        <v>8430.6939999999995</v>
      </c>
      <c r="P15" s="42">
        <f>'April 2022 '!O51</f>
        <v>941.48000000000013</v>
      </c>
    </row>
    <row r="16" spans="5:16">
      <c r="E16" s="43">
        <v>44652</v>
      </c>
      <c r="F16" s="44">
        <f>'April 2022 '!D51</f>
        <v>720.0300000000002</v>
      </c>
      <c r="G16" s="44">
        <f>'April 2022 '!F51</f>
        <v>0</v>
      </c>
      <c r="H16" s="44">
        <f t="shared" ref="H16:H27" si="0">H15+F16-G16</f>
        <v>116132.5199</v>
      </c>
      <c r="J16" s="44">
        <f>'April 2022 '!J51</f>
        <v>46.754999999999995</v>
      </c>
      <c r="K16" s="44">
        <f>'April 2022 '!L51</f>
        <v>6.7299999999999995</v>
      </c>
      <c r="L16" s="44">
        <f t="shared" ref="L16:L27" si="1">L15+J16-K16</f>
        <v>8470.7189999999991</v>
      </c>
      <c r="N16" s="44">
        <f>'April 2022 '!P51</f>
        <v>35.480000000000004</v>
      </c>
      <c r="O16" s="44">
        <f>'April 2022 '!R51</f>
        <v>27.67</v>
      </c>
      <c r="P16" s="44">
        <f t="shared" ref="P16:P27" si="2">P15+N16-O16</f>
        <v>949.29000000000019</v>
      </c>
    </row>
    <row r="17" spans="5:16">
      <c r="E17" s="43">
        <v>44682</v>
      </c>
      <c r="F17" s="44">
        <f>'May 2022'!D51</f>
        <v>410.58</v>
      </c>
      <c r="G17" s="44">
        <f>'May 2022'!F51</f>
        <v>9.7200000000000006</v>
      </c>
      <c r="H17" s="44">
        <f t="shared" si="0"/>
        <v>116533.3799</v>
      </c>
      <c r="J17" s="44">
        <f>'May 2022'!J51</f>
        <v>189.67699999999999</v>
      </c>
      <c r="K17" s="44">
        <f>'May 2022'!L51</f>
        <v>0.08</v>
      </c>
      <c r="L17" s="44">
        <f t="shared" si="1"/>
        <v>8660.3159999999989</v>
      </c>
      <c r="N17" s="44">
        <f>'May 2022'!P51</f>
        <v>93.1</v>
      </c>
      <c r="O17" s="44">
        <f>'May 2022'!R51</f>
        <v>0</v>
      </c>
      <c r="P17" s="44">
        <f t="shared" si="2"/>
        <v>1042.3900000000001</v>
      </c>
    </row>
    <row r="18" spans="5:16">
      <c r="E18" s="43">
        <v>44713</v>
      </c>
      <c r="F18" s="44">
        <f>'June 2022'!D51</f>
        <v>412.27000000000004</v>
      </c>
      <c r="G18" s="44">
        <f>'June 2022'!F51</f>
        <v>36.4</v>
      </c>
      <c r="H18" s="44">
        <f t="shared" si="0"/>
        <v>116909.24990000001</v>
      </c>
      <c r="J18" s="44">
        <f>'June 2022'!J51</f>
        <v>430.60700000000003</v>
      </c>
      <c r="K18" s="44">
        <f>'June 2022'!L51</f>
        <v>0</v>
      </c>
      <c r="L18" s="44">
        <f t="shared" si="1"/>
        <v>9090.9229999999989</v>
      </c>
      <c r="N18" s="44">
        <f>'June 2022'!P51</f>
        <v>0.61</v>
      </c>
      <c r="O18" s="44">
        <f>'June 2022'!R51</f>
        <v>8.4700000000000006</v>
      </c>
      <c r="P18" s="44">
        <f t="shared" si="2"/>
        <v>1034.53</v>
      </c>
    </row>
    <row r="19" spans="5:16">
      <c r="E19" s="43">
        <v>44743</v>
      </c>
      <c r="F19" s="44">
        <f>'July 2022'!D51</f>
        <v>425.84000000000003</v>
      </c>
      <c r="G19" s="44">
        <f>'July 2022'!F51</f>
        <v>52.8</v>
      </c>
      <c r="H19" s="44">
        <f t="shared" si="0"/>
        <v>117282.2899</v>
      </c>
      <c r="J19" s="44">
        <f>'July 2022'!J51</f>
        <v>206.1</v>
      </c>
      <c r="K19" s="44">
        <f>'July 2022'!L51</f>
        <v>0.7</v>
      </c>
      <c r="L19" s="44">
        <f t="shared" si="1"/>
        <v>9296.3229999999985</v>
      </c>
      <c r="N19" s="44">
        <f>'July 2022'!P51</f>
        <v>0.15</v>
      </c>
      <c r="O19" s="44">
        <f>'July 2022'!R51</f>
        <v>0</v>
      </c>
      <c r="P19" s="44">
        <f t="shared" si="2"/>
        <v>1034.68</v>
      </c>
    </row>
    <row r="20" spans="5:16">
      <c r="E20" s="43">
        <v>44774</v>
      </c>
      <c r="F20" s="44">
        <f>'Aug 2022  '!D51</f>
        <v>280.75199999999995</v>
      </c>
      <c r="G20" s="44">
        <f>'Aug 2022  '!F51</f>
        <v>8.59</v>
      </c>
      <c r="H20" s="44">
        <f t="shared" si="0"/>
        <v>117554.4519</v>
      </c>
      <c r="J20" s="44">
        <f>'Aug 2022  '!J51</f>
        <v>97.352000000000004</v>
      </c>
      <c r="K20" s="44">
        <f>'Aug 2022  '!L51</f>
        <v>0</v>
      </c>
      <c r="L20" s="44">
        <f t="shared" si="1"/>
        <v>9393.6749999999993</v>
      </c>
      <c r="N20" s="44">
        <f>'Aug 2022  '!P51</f>
        <v>201.1</v>
      </c>
      <c r="O20" s="44">
        <f>'Aug 2022  '!R51</f>
        <v>0</v>
      </c>
      <c r="P20" s="44">
        <f t="shared" si="2"/>
        <v>1235.78</v>
      </c>
    </row>
    <row r="21" spans="5:16">
      <c r="E21" s="43">
        <v>44805</v>
      </c>
      <c r="F21" s="44">
        <f>'Sep 2022'!D51</f>
        <v>337.64600000000002</v>
      </c>
      <c r="G21" s="44">
        <f>'Sep 2022'!F51</f>
        <v>161.56</v>
      </c>
      <c r="H21" s="44">
        <f t="shared" si="0"/>
        <v>117730.5379</v>
      </c>
      <c r="J21" s="44">
        <f>'Sep 2022'!J51+161.56</f>
        <v>502.31</v>
      </c>
      <c r="K21" s="44">
        <f>'Sep 2022'!L51</f>
        <v>0</v>
      </c>
      <c r="L21" s="44">
        <f t="shared" si="1"/>
        <v>9895.9849999999988</v>
      </c>
      <c r="N21" s="44">
        <f>'Sep 2022'!P51</f>
        <v>52.16</v>
      </c>
      <c r="O21" s="44">
        <f>'Sep 2022'!R51</f>
        <v>0</v>
      </c>
      <c r="P21" s="44">
        <f t="shared" si="2"/>
        <v>1287.94</v>
      </c>
    </row>
    <row r="22" spans="5:16">
      <c r="E22" s="43">
        <v>44835</v>
      </c>
      <c r="F22" s="44">
        <f>'Oct 2022'!D51</f>
        <v>352.07499999999999</v>
      </c>
      <c r="G22" s="44">
        <f>'Oct 2022'!F51</f>
        <v>184.37</v>
      </c>
      <c r="H22" s="44">
        <f t="shared" si="0"/>
        <v>117898.2429</v>
      </c>
      <c r="J22" s="44">
        <f>'Oct 2022'!J51</f>
        <v>224.34499999999997</v>
      </c>
      <c r="K22" s="44">
        <f>'Oct 2022'!L51</f>
        <v>0</v>
      </c>
      <c r="L22" s="44">
        <f t="shared" si="1"/>
        <v>10120.329999999998</v>
      </c>
      <c r="N22" s="44">
        <f>'Oct 2022'!P51</f>
        <v>140.25</v>
      </c>
      <c r="O22" s="44">
        <f>'Oct 2022'!R51</f>
        <v>11.9</v>
      </c>
      <c r="P22" s="44">
        <f t="shared" si="2"/>
        <v>1416.29</v>
      </c>
    </row>
    <row r="23" spans="5:16">
      <c r="E23" s="43">
        <v>44866</v>
      </c>
      <c r="F23" s="44">
        <f>'Nov 2022'!D51</f>
        <v>328.25700000000001</v>
      </c>
      <c r="G23" s="44">
        <f>'Nov 2022'!F51</f>
        <v>99.31</v>
      </c>
      <c r="H23" s="44">
        <f t="shared" si="0"/>
        <v>118127.1899</v>
      </c>
      <c r="J23" s="44">
        <f>'Nov 2022'!J51</f>
        <v>250.858</v>
      </c>
      <c r="K23" s="44">
        <f>'Nov 2022'!L51</f>
        <v>0.34</v>
      </c>
      <c r="L23" s="44">
        <f t="shared" si="1"/>
        <v>10370.847999999998</v>
      </c>
      <c r="N23" s="44">
        <f>'Nov 2022'!P51</f>
        <v>113.08999999999999</v>
      </c>
      <c r="O23" s="44">
        <f>'Nov 2022'!R51</f>
        <v>2.11</v>
      </c>
      <c r="P23" s="44">
        <f t="shared" si="2"/>
        <v>1527.27</v>
      </c>
    </row>
    <row r="24" spans="5:16">
      <c r="E24" s="43">
        <v>44896</v>
      </c>
      <c r="F24" s="44">
        <f>'Dec 2022'!D51</f>
        <v>426.99</v>
      </c>
      <c r="G24" s="44">
        <f>'Dec 2022'!F51</f>
        <v>11.23</v>
      </c>
      <c r="H24" s="44">
        <f t="shared" si="0"/>
        <v>118542.94990000001</v>
      </c>
      <c r="J24" s="44">
        <f>'Dec 2022'!J51</f>
        <v>74.849999999999994</v>
      </c>
      <c r="K24" s="44">
        <f>'Dec 2022'!L51</f>
        <v>0</v>
      </c>
      <c r="L24" s="44">
        <f t="shared" si="1"/>
        <v>10445.697999999999</v>
      </c>
      <c r="N24" s="44">
        <f>'Dec 2022'!P51</f>
        <v>69.710000000000008</v>
      </c>
      <c r="O24" s="44">
        <f>'Dec 2022'!R51</f>
        <v>2.42</v>
      </c>
      <c r="P24" s="44">
        <f t="shared" si="2"/>
        <v>1594.56</v>
      </c>
    </row>
    <row r="25" spans="5:16">
      <c r="E25" s="43">
        <v>44927</v>
      </c>
      <c r="F25" s="44"/>
      <c r="G25" s="44"/>
      <c r="H25" s="44">
        <f t="shared" si="0"/>
        <v>118542.94990000001</v>
      </c>
      <c r="J25" s="44"/>
      <c r="K25" s="44"/>
      <c r="L25" s="44">
        <f t="shared" si="1"/>
        <v>10445.697999999999</v>
      </c>
      <c r="N25" s="44"/>
      <c r="O25" s="44"/>
      <c r="P25" s="44">
        <f t="shared" si="2"/>
        <v>1594.56</v>
      </c>
    </row>
    <row r="26" spans="5:16">
      <c r="E26" s="43">
        <v>44958</v>
      </c>
      <c r="F26" s="44"/>
      <c r="G26" s="44"/>
      <c r="H26" s="44">
        <f t="shared" si="0"/>
        <v>118542.94990000001</v>
      </c>
      <c r="J26" s="44"/>
      <c r="K26" s="44"/>
      <c r="L26" s="44">
        <f t="shared" si="1"/>
        <v>10445.697999999999</v>
      </c>
      <c r="N26" s="44"/>
      <c r="O26" s="44"/>
      <c r="P26" s="44">
        <f t="shared" si="2"/>
        <v>1594.56</v>
      </c>
    </row>
    <row r="27" spans="5:16">
      <c r="E27" s="43">
        <v>44986</v>
      </c>
      <c r="F27" s="44"/>
      <c r="G27" s="44"/>
      <c r="H27" s="44">
        <f t="shared" si="0"/>
        <v>118542.94990000001</v>
      </c>
      <c r="J27" s="44"/>
      <c r="K27" s="44"/>
      <c r="L27" s="44">
        <f t="shared" si="1"/>
        <v>10445.697999999999</v>
      </c>
      <c r="N27" s="44"/>
      <c r="O27" s="44"/>
      <c r="P27" s="44">
        <f t="shared" si="2"/>
        <v>1594.56</v>
      </c>
    </row>
    <row r="28" spans="5:16">
      <c r="F28" s="44">
        <f>SUM(F16:F27)</f>
        <v>3694.4400000000005</v>
      </c>
      <c r="G28" s="44">
        <f>SUM(G16:G27)</f>
        <v>563.98</v>
      </c>
      <c r="J28" s="44">
        <f>SUM(J16:J27)</f>
        <v>2022.8539999999998</v>
      </c>
      <c r="K28" s="44">
        <f>SUM(K16:K27)</f>
        <v>7.85</v>
      </c>
      <c r="N28" s="44">
        <f>SUM(N16:N27)</f>
        <v>705.65000000000009</v>
      </c>
      <c r="O28" s="44">
        <f>SUM(O16:O27)</f>
        <v>52.57</v>
      </c>
    </row>
    <row r="32" spans="5:16">
      <c r="F32" s="44">
        <f>F28+J28+N28</f>
        <v>6422.9439999999995</v>
      </c>
      <c r="G32" s="44">
        <f>G28+K28+O28</f>
        <v>624.40000000000009</v>
      </c>
      <c r="H32" s="44">
        <f>H15+F28-G28</f>
        <v>118542.94990000001</v>
      </c>
      <c r="L32" s="44">
        <f>L15+J28-K28</f>
        <v>10445.697999999999</v>
      </c>
      <c r="P32" s="44">
        <f>P15+N28-O28</f>
        <v>1594.5600000000002</v>
      </c>
    </row>
    <row r="37" spans="6:8">
      <c r="F37" s="44">
        <f>H15+L15+P15+F32-G28-K28</f>
        <v>130635.7779</v>
      </c>
      <c r="H37" s="87">
        <f>H32+L32+P32</f>
        <v>130583.20790000001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A46" zoomScale="51" zoomScaleNormal="51" workbookViewId="0">
      <selection activeCell="C45" sqref="C45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4" customWidth="1"/>
    <col min="20" max="20" width="25.42578125" style="13" customWidth="1"/>
    <col min="21" max="21" width="32.85546875" style="13" customWidth="1"/>
    <col min="22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47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46" t="s">
        <v>11</v>
      </c>
      <c r="E6" s="46" t="s">
        <v>12</v>
      </c>
      <c r="F6" s="46" t="s">
        <v>11</v>
      </c>
      <c r="G6" s="46" t="s">
        <v>12</v>
      </c>
      <c r="H6" s="135"/>
      <c r="I6" s="138"/>
      <c r="J6" s="46" t="s">
        <v>11</v>
      </c>
      <c r="K6" s="46" t="s">
        <v>12</v>
      </c>
      <c r="L6" s="46" t="s">
        <v>11</v>
      </c>
      <c r="M6" s="46" t="s">
        <v>12</v>
      </c>
      <c r="N6" s="135"/>
      <c r="O6" s="138"/>
      <c r="P6" s="46" t="s">
        <v>11</v>
      </c>
      <c r="Q6" s="46" t="s">
        <v>12</v>
      </c>
      <c r="R6" s="46" t="s">
        <v>11</v>
      </c>
      <c r="S6" s="46" t="s">
        <v>12</v>
      </c>
      <c r="T6" s="135"/>
      <c r="U6" s="135"/>
    </row>
    <row r="7" spans="1:21" ht="38.25" customHeight="1">
      <c r="A7" s="47">
        <v>1</v>
      </c>
      <c r="B7" s="49" t="s">
        <v>13</v>
      </c>
      <c r="C7" s="1">
        <v>90.039999999999978</v>
      </c>
      <c r="D7" s="1">
        <v>0</v>
      </c>
      <c r="E7" s="1">
        <f>D7</f>
        <v>0</v>
      </c>
      <c r="F7" s="1">
        <v>0</v>
      </c>
      <c r="G7" s="1">
        <f>F7</f>
        <v>0</v>
      </c>
      <c r="H7" s="1">
        <f>C7+D7-F7</f>
        <v>90.039999999999978</v>
      </c>
      <c r="I7" s="1">
        <v>584.21699999999987</v>
      </c>
      <c r="J7" s="1">
        <v>0.875</v>
      </c>
      <c r="K7" s="1">
        <f>J7</f>
        <v>0.875</v>
      </c>
      <c r="L7" s="1">
        <v>0</v>
      </c>
      <c r="M7" s="1">
        <f>L7</f>
        <v>0</v>
      </c>
      <c r="N7" s="1">
        <f>I7+J7-L7</f>
        <v>585.09199999999987</v>
      </c>
      <c r="O7" s="1">
        <v>9.4460000000000068</v>
      </c>
      <c r="P7" s="1">
        <v>0</v>
      </c>
      <c r="Q7" s="1">
        <f>P7</f>
        <v>0</v>
      </c>
      <c r="R7" s="1">
        <v>1.01</v>
      </c>
      <c r="S7" s="1">
        <f>R7</f>
        <v>1.01</v>
      </c>
      <c r="T7" s="1">
        <f>O7+P7-R7</f>
        <v>8.436000000000007</v>
      </c>
      <c r="U7" s="1">
        <f>H7+N7+T7</f>
        <v>683.56799999999987</v>
      </c>
    </row>
    <row r="8" spans="1:21" ht="38.25" customHeight="1">
      <c r="A8" s="47">
        <v>2</v>
      </c>
      <c r="B8" s="49" t="s">
        <v>14</v>
      </c>
      <c r="C8" s="1">
        <v>265.39</v>
      </c>
      <c r="D8" s="1">
        <v>0</v>
      </c>
      <c r="E8" s="1">
        <f t="shared" ref="E8:E48" si="0">D8</f>
        <v>0</v>
      </c>
      <c r="F8" s="1">
        <v>0</v>
      </c>
      <c r="G8" s="1">
        <f t="shared" ref="G8:G48" si="1">F8</f>
        <v>0</v>
      </c>
      <c r="H8" s="1">
        <f t="shared" ref="H8:H51" si="2">C8+D8-F8</f>
        <v>265.39</v>
      </c>
      <c r="I8" s="1">
        <v>311.97999999999996</v>
      </c>
      <c r="J8" s="1">
        <v>1.175</v>
      </c>
      <c r="K8" s="1">
        <f t="shared" ref="K8:K48" si="3">J8</f>
        <v>1.175</v>
      </c>
      <c r="L8" s="1">
        <v>0</v>
      </c>
      <c r="M8" s="1">
        <f t="shared" ref="M8:M48" si="4">L8</f>
        <v>0</v>
      </c>
      <c r="N8" s="1">
        <f t="shared" ref="N8:N51" si="5">I8+J8-L8</f>
        <v>313.15499999999997</v>
      </c>
      <c r="O8" s="1">
        <v>66.290000000000006</v>
      </c>
      <c r="P8" s="1">
        <v>0</v>
      </c>
      <c r="Q8" s="1">
        <f t="shared" ref="Q8:Q48" si="6">P8</f>
        <v>0</v>
      </c>
      <c r="R8" s="1">
        <v>0</v>
      </c>
      <c r="S8" s="1">
        <f t="shared" ref="S8:S48" si="7">R8</f>
        <v>0</v>
      </c>
      <c r="T8" s="1">
        <f t="shared" ref="T8:T51" si="8">O8+P8-R8</f>
        <v>66.290000000000006</v>
      </c>
      <c r="U8" s="1">
        <f t="shared" ref="U8:U48" si="9">H8+N8+T8</f>
        <v>644.83499999999992</v>
      </c>
    </row>
    <row r="9" spans="1:21" ht="38.25" customHeight="1">
      <c r="A9" s="47">
        <v>3</v>
      </c>
      <c r="B9" s="49" t="s">
        <v>15</v>
      </c>
      <c r="C9" s="1">
        <v>209.16</v>
      </c>
      <c r="D9" s="1">
        <v>0</v>
      </c>
      <c r="E9" s="1">
        <f t="shared" si="0"/>
        <v>0</v>
      </c>
      <c r="F9" s="1">
        <v>0</v>
      </c>
      <c r="G9" s="1">
        <f t="shared" si="1"/>
        <v>0</v>
      </c>
      <c r="H9" s="1">
        <f t="shared" si="2"/>
        <v>209.16</v>
      </c>
      <c r="I9" s="1">
        <v>701.02800000000002</v>
      </c>
      <c r="J9" s="1">
        <v>2.87</v>
      </c>
      <c r="K9" s="1">
        <f t="shared" si="3"/>
        <v>2.87</v>
      </c>
      <c r="L9" s="1">
        <v>0</v>
      </c>
      <c r="M9" s="1">
        <f t="shared" si="4"/>
        <v>0</v>
      </c>
      <c r="N9" s="1">
        <f t="shared" si="5"/>
        <v>703.89800000000002</v>
      </c>
      <c r="O9" s="1">
        <v>44.739999999999995</v>
      </c>
      <c r="P9" s="1">
        <v>0</v>
      </c>
      <c r="Q9" s="1">
        <f t="shared" si="6"/>
        <v>0</v>
      </c>
      <c r="R9" s="1">
        <v>0</v>
      </c>
      <c r="S9" s="1">
        <f t="shared" si="7"/>
        <v>0</v>
      </c>
      <c r="T9" s="1">
        <f t="shared" si="8"/>
        <v>44.739999999999995</v>
      </c>
      <c r="U9" s="1">
        <f t="shared" si="9"/>
        <v>957.798</v>
      </c>
    </row>
    <row r="10" spans="1:21" s="7" customFormat="1" ht="38.25" customHeight="1">
      <c r="A10" s="47">
        <v>4</v>
      </c>
      <c r="B10" s="49" t="s">
        <v>16</v>
      </c>
      <c r="C10" s="1">
        <v>0</v>
      </c>
      <c r="D10" s="1">
        <v>0</v>
      </c>
      <c r="E10" s="1">
        <f t="shared" si="0"/>
        <v>0</v>
      </c>
      <c r="F10" s="1">
        <v>0</v>
      </c>
      <c r="G10" s="1">
        <f t="shared" si="1"/>
        <v>0</v>
      </c>
      <c r="H10" s="1">
        <f t="shared" si="2"/>
        <v>0</v>
      </c>
      <c r="I10" s="1">
        <v>342.37499999999994</v>
      </c>
      <c r="J10" s="1">
        <f>0.665+0.73</f>
        <v>1.395</v>
      </c>
      <c r="K10" s="1">
        <f t="shared" si="3"/>
        <v>1.395</v>
      </c>
      <c r="L10" s="1">
        <v>0</v>
      </c>
      <c r="M10" s="1">
        <f t="shared" si="4"/>
        <v>0</v>
      </c>
      <c r="N10" s="1">
        <f t="shared" si="5"/>
        <v>343.76999999999992</v>
      </c>
      <c r="O10" s="1">
        <v>0.20000000000000007</v>
      </c>
      <c r="P10" s="1">
        <v>0</v>
      </c>
      <c r="Q10" s="1">
        <f t="shared" si="6"/>
        <v>0</v>
      </c>
      <c r="R10" s="1">
        <v>0</v>
      </c>
      <c r="S10" s="1">
        <f t="shared" si="7"/>
        <v>0</v>
      </c>
      <c r="T10" s="1">
        <f t="shared" si="8"/>
        <v>0.20000000000000007</v>
      </c>
      <c r="U10" s="1">
        <f t="shared" si="9"/>
        <v>343.96999999999991</v>
      </c>
    </row>
    <row r="11" spans="1:21" s="7" customFormat="1" ht="38.25" customHeight="1">
      <c r="A11" s="46"/>
      <c r="B11" s="48" t="s">
        <v>17</v>
      </c>
      <c r="C11" s="2">
        <f>SUM(C7:C10)</f>
        <v>564.58999999999992</v>
      </c>
      <c r="D11" s="2">
        <f t="shared" ref="D11:U11" si="10">SUM(D7:D10)</f>
        <v>0</v>
      </c>
      <c r="E11" s="2">
        <f t="shared" si="10"/>
        <v>0</v>
      </c>
      <c r="F11" s="2">
        <f t="shared" si="10"/>
        <v>0</v>
      </c>
      <c r="G11" s="2">
        <f t="shared" si="10"/>
        <v>0</v>
      </c>
      <c r="H11" s="2">
        <f t="shared" si="2"/>
        <v>564.58999999999992</v>
      </c>
      <c r="I11" s="2">
        <f t="shared" si="10"/>
        <v>1939.6</v>
      </c>
      <c r="J11" s="2">
        <f t="shared" si="10"/>
        <v>6.3149999999999995</v>
      </c>
      <c r="K11" s="2">
        <f t="shared" si="10"/>
        <v>6.3149999999999995</v>
      </c>
      <c r="L11" s="2">
        <f t="shared" si="10"/>
        <v>0</v>
      </c>
      <c r="M11" s="2">
        <f t="shared" si="10"/>
        <v>0</v>
      </c>
      <c r="N11" s="2">
        <f t="shared" si="5"/>
        <v>1945.915</v>
      </c>
      <c r="O11" s="2">
        <f t="shared" si="10"/>
        <v>120.67600000000002</v>
      </c>
      <c r="P11" s="2">
        <f t="shared" si="10"/>
        <v>0</v>
      </c>
      <c r="Q11" s="2">
        <f t="shared" si="10"/>
        <v>0</v>
      </c>
      <c r="R11" s="2">
        <f t="shared" si="10"/>
        <v>1.01</v>
      </c>
      <c r="S11" s="2">
        <f t="shared" si="10"/>
        <v>1.01</v>
      </c>
      <c r="T11" s="2">
        <f t="shared" si="8"/>
        <v>119.66600000000001</v>
      </c>
      <c r="U11" s="2">
        <f t="shared" si="10"/>
        <v>2630.1709999999998</v>
      </c>
    </row>
    <row r="12" spans="1:21" ht="38.25" customHeight="1">
      <c r="A12" s="47">
        <v>5</v>
      </c>
      <c r="B12" s="49" t="s">
        <v>18</v>
      </c>
      <c r="C12" s="1">
        <v>355.3099999999996</v>
      </c>
      <c r="D12" s="1">
        <v>0</v>
      </c>
      <c r="E12" s="1">
        <f t="shared" si="0"/>
        <v>0</v>
      </c>
      <c r="F12" s="1">
        <v>0</v>
      </c>
      <c r="G12" s="1">
        <f t="shared" si="1"/>
        <v>0</v>
      </c>
      <c r="H12" s="1">
        <f t="shared" si="2"/>
        <v>355.3099999999996</v>
      </c>
      <c r="I12" s="1">
        <v>804.70499999999993</v>
      </c>
      <c r="J12" s="31">
        <v>0.46</v>
      </c>
      <c r="K12" s="1">
        <f t="shared" si="3"/>
        <v>0.46</v>
      </c>
      <c r="L12" s="1">
        <v>0</v>
      </c>
      <c r="M12" s="1">
        <f t="shared" si="4"/>
        <v>0</v>
      </c>
      <c r="N12" s="1">
        <f t="shared" si="5"/>
        <v>805.16499999999996</v>
      </c>
      <c r="O12" s="1">
        <v>36.850000000000009</v>
      </c>
      <c r="P12" s="1">
        <v>0</v>
      </c>
      <c r="Q12" s="1">
        <f t="shared" si="6"/>
        <v>0</v>
      </c>
      <c r="R12" s="1">
        <v>0</v>
      </c>
      <c r="S12" s="1">
        <f t="shared" si="7"/>
        <v>0</v>
      </c>
      <c r="T12" s="1">
        <f t="shared" si="8"/>
        <v>36.850000000000009</v>
      </c>
      <c r="U12" s="1">
        <f t="shared" si="9"/>
        <v>1197.3249999999994</v>
      </c>
    </row>
    <row r="13" spans="1:21" ht="38.25" customHeight="1">
      <c r="A13" s="47">
        <v>6</v>
      </c>
      <c r="B13" s="49" t="s">
        <v>19</v>
      </c>
      <c r="C13" s="1">
        <v>312.23000000000013</v>
      </c>
      <c r="D13" s="1">
        <v>0</v>
      </c>
      <c r="E13" s="1">
        <f t="shared" si="0"/>
        <v>0</v>
      </c>
      <c r="F13" s="1">
        <v>0</v>
      </c>
      <c r="G13" s="1">
        <f t="shared" si="1"/>
        <v>0</v>
      </c>
      <c r="H13" s="1">
        <f t="shared" si="2"/>
        <v>312.23000000000013</v>
      </c>
      <c r="I13" s="1">
        <v>528.53200000000027</v>
      </c>
      <c r="J13" s="31">
        <v>0.98</v>
      </c>
      <c r="K13" s="1">
        <f t="shared" si="3"/>
        <v>0.98</v>
      </c>
      <c r="L13" s="1">
        <v>0</v>
      </c>
      <c r="M13" s="1">
        <f t="shared" si="4"/>
        <v>0</v>
      </c>
      <c r="N13" s="1">
        <f t="shared" si="5"/>
        <v>529.51200000000028</v>
      </c>
      <c r="O13" s="1">
        <v>68.39</v>
      </c>
      <c r="P13" s="1">
        <v>0</v>
      </c>
      <c r="Q13" s="1">
        <f t="shared" si="6"/>
        <v>0</v>
      </c>
      <c r="R13" s="1">
        <v>0</v>
      </c>
      <c r="S13" s="1">
        <f t="shared" si="7"/>
        <v>0</v>
      </c>
      <c r="T13" s="1">
        <f t="shared" si="8"/>
        <v>68.39</v>
      </c>
      <c r="U13" s="1">
        <f t="shared" si="9"/>
        <v>910.1320000000004</v>
      </c>
    </row>
    <row r="14" spans="1:21" s="7" customFormat="1" ht="38.25" customHeight="1">
      <c r="A14" s="47">
        <v>7</v>
      </c>
      <c r="B14" s="49" t="s">
        <v>20</v>
      </c>
      <c r="C14" s="1">
        <v>1216.4399999999994</v>
      </c>
      <c r="D14" s="1">
        <v>0</v>
      </c>
      <c r="E14" s="1">
        <f t="shared" si="0"/>
        <v>0</v>
      </c>
      <c r="F14" s="1">
        <v>0</v>
      </c>
      <c r="G14" s="1">
        <f t="shared" si="1"/>
        <v>0</v>
      </c>
      <c r="H14" s="1">
        <f t="shared" si="2"/>
        <v>1216.4399999999994</v>
      </c>
      <c r="I14" s="1">
        <v>864.78800000000024</v>
      </c>
      <c r="J14" s="31">
        <v>2.8</v>
      </c>
      <c r="K14" s="1">
        <f t="shared" si="3"/>
        <v>2.8</v>
      </c>
      <c r="L14" s="1">
        <v>0</v>
      </c>
      <c r="M14" s="1">
        <f t="shared" si="4"/>
        <v>0</v>
      </c>
      <c r="N14" s="1">
        <f t="shared" si="5"/>
        <v>867.58800000000019</v>
      </c>
      <c r="O14" s="1">
        <v>61.329999999999991</v>
      </c>
      <c r="P14" s="1">
        <v>0</v>
      </c>
      <c r="Q14" s="1">
        <f t="shared" si="6"/>
        <v>0</v>
      </c>
      <c r="R14" s="1">
        <v>0</v>
      </c>
      <c r="S14" s="1">
        <f t="shared" si="7"/>
        <v>0</v>
      </c>
      <c r="T14" s="1">
        <f t="shared" si="8"/>
        <v>61.329999999999991</v>
      </c>
      <c r="U14" s="1">
        <f t="shared" si="9"/>
        <v>2145.3579999999993</v>
      </c>
    </row>
    <row r="15" spans="1:21" s="7" customFormat="1" ht="38.25" customHeight="1">
      <c r="A15" s="46"/>
      <c r="B15" s="48" t="s">
        <v>21</v>
      </c>
      <c r="C15" s="2">
        <f>SUM(C12:C14)</f>
        <v>1883.9799999999991</v>
      </c>
      <c r="D15" s="2">
        <f t="shared" ref="D15:U15" si="11">SUM(D12:D14)</f>
        <v>0</v>
      </c>
      <c r="E15" s="2">
        <f t="shared" si="11"/>
        <v>0</v>
      </c>
      <c r="F15" s="2">
        <f t="shared" si="11"/>
        <v>0</v>
      </c>
      <c r="G15" s="2">
        <f t="shared" si="11"/>
        <v>0</v>
      </c>
      <c r="H15" s="2">
        <f t="shared" si="2"/>
        <v>1883.9799999999991</v>
      </c>
      <c r="I15" s="2">
        <f t="shared" si="11"/>
        <v>2198.0250000000005</v>
      </c>
      <c r="J15" s="2">
        <f t="shared" si="11"/>
        <v>4.24</v>
      </c>
      <c r="K15" s="2">
        <f t="shared" si="11"/>
        <v>4.24</v>
      </c>
      <c r="L15" s="2">
        <f t="shared" si="11"/>
        <v>0</v>
      </c>
      <c r="M15" s="2">
        <f t="shared" si="11"/>
        <v>0</v>
      </c>
      <c r="N15" s="2">
        <f t="shared" si="5"/>
        <v>2202.2650000000003</v>
      </c>
      <c r="O15" s="2">
        <f t="shared" si="11"/>
        <v>166.57</v>
      </c>
      <c r="P15" s="2">
        <f t="shared" si="11"/>
        <v>0</v>
      </c>
      <c r="Q15" s="2">
        <f t="shared" si="11"/>
        <v>0</v>
      </c>
      <c r="R15" s="2">
        <f t="shared" si="11"/>
        <v>0</v>
      </c>
      <c r="S15" s="2">
        <f t="shared" si="11"/>
        <v>0</v>
      </c>
      <c r="T15" s="2">
        <f t="shared" si="8"/>
        <v>166.57</v>
      </c>
      <c r="U15" s="2">
        <f t="shared" si="11"/>
        <v>4252.8149999999987</v>
      </c>
    </row>
    <row r="16" spans="1:21" s="16" customFormat="1" ht="38.25" customHeight="1">
      <c r="A16" s="47">
        <v>8</v>
      </c>
      <c r="B16" s="49" t="s">
        <v>22</v>
      </c>
      <c r="C16" s="1">
        <v>993.84400000000039</v>
      </c>
      <c r="D16" s="1">
        <v>0.28999999999999998</v>
      </c>
      <c r="E16" s="1">
        <f t="shared" si="0"/>
        <v>0.28999999999999998</v>
      </c>
      <c r="F16" s="1">
        <v>0</v>
      </c>
      <c r="G16" s="1">
        <f t="shared" si="1"/>
        <v>0</v>
      </c>
      <c r="H16" s="1">
        <f t="shared" si="2"/>
        <v>994.13400000000036</v>
      </c>
      <c r="I16" s="1">
        <v>299.04599999999999</v>
      </c>
      <c r="J16" s="1">
        <v>0.13</v>
      </c>
      <c r="K16" s="1">
        <f t="shared" si="3"/>
        <v>0.13</v>
      </c>
      <c r="L16" s="1">
        <v>0</v>
      </c>
      <c r="M16" s="1">
        <f t="shared" si="4"/>
        <v>0</v>
      </c>
      <c r="N16" s="1">
        <f t="shared" si="5"/>
        <v>299.17599999999999</v>
      </c>
      <c r="O16" s="1">
        <v>177.41200000000003</v>
      </c>
      <c r="P16" s="1">
        <v>0</v>
      </c>
      <c r="Q16" s="1">
        <f t="shared" si="6"/>
        <v>0</v>
      </c>
      <c r="R16" s="1">
        <v>0</v>
      </c>
      <c r="S16" s="1">
        <f t="shared" si="7"/>
        <v>0</v>
      </c>
      <c r="T16" s="1">
        <f t="shared" si="8"/>
        <v>177.41200000000003</v>
      </c>
      <c r="U16" s="1">
        <f t="shared" si="9"/>
        <v>1470.7220000000004</v>
      </c>
    </row>
    <row r="17" spans="1:21" ht="61.5" customHeight="1">
      <c r="A17" s="17">
        <v>9</v>
      </c>
      <c r="B17" s="26" t="s">
        <v>23</v>
      </c>
      <c r="C17" s="1">
        <v>6.415999999999948</v>
      </c>
      <c r="D17" s="1">
        <v>0</v>
      </c>
      <c r="E17" s="1">
        <f t="shared" si="0"/>
        <v>0</v>
      </c>
      <c r="F17" s="1">
        <v>0</v>
      </c>
      <c r="G17" s="1">
        <f t="shared" si="1"/>
        <v>0</v>
      </c>
      <c r="H17" s="1">
        <f t="shared" si="2"/>
        <v>6.415999999999948</v>
      </c>
      <c r="I17" s="1">
        <v>511.75000000000017</v>
      </c>
      <c r="J17" s="1">
        <v>1.36</v>
      </c>
      <c r="K17" s="1">
        <f t="shared" si="3"/>
        <v>1.36</v>
      </c>
      <c r="L17" s="1">
        <v>0</v>
      </c>
      <c r="M17" s="1">
        <f t="shared" si="4"/>
        <v>0</v>
      </c>
      <c r="N17" s="1">
        <f t="shared" si="5"/>
        <v>513.11000000000013</v>
      </c>
      <c r="O17" s="1">
        <v>6.33</v>
      </c>
      <c r="P17" s="1">
        <v>0</v>
      </c>
      <c r="Q17" s="1">
        <f t="shared" si="6"/>
        <v>0</v>
      </c>
      <c r="R17" s="1">
        <v>0</v>
      </c>
      <c r="S17" s="1">
        <f t="shared" si="7"/>
        <v>0</v>
      </c>
      <c r="T17" s="1">
        <f t="shared" si="8"/>
        <v>6.33</v>
      </c>
      <c r="U17" s="1">
        <f t="shared" si="9"/>
        <v>525.85600000000011</v>
      </c>
    </row>
    <row r="18" spans="1:21" s="7" customFormat="1" ht="38.25" customHeight="1">
      <c r="A18" s="47">
        <v>10</v>
      </c>
      <c r="B18" s="49" t="s">
        <v>24</v>
      </c>
      <c r="C18" s="1">
        <v>75.986000000000104</v>
      </c>
      <c r="D18" s="1">
        <v>0.24</v>
      </c>
      <c r="E18" s="1">
        <f t="shared" si="0"/>
        <v>0.24</v>
      </c>
      <c r="F18" s="1">
        <v>0</v>
      </c>
      <c r="G18" s="1">
        <f t="shared" si="1"/>
        <v>0</v>
      </c>
      <c r="H18" s="1">
        <f t="shared" si="2"/>
        <v>76.226000000000099</v>
      </c>
      <c r="I18" s="1">
        <v>485.53699999999998</v>
      </c>
      <c r="J18" s="1">
        <v>0.4</v>
      </c>
      <c r="K18" s="1">
        <f t="shared" si="3"/>
        <v>0.4</v>
      </c>
      <c r="L18" s="1">
        <v>0</v>
      </c>
      <c r="M18" s="1">
        <f t="shared" si="4"/>
        <v>0</v>
      </c>
      <c r="N18" s="1">
        <f t="shared" si="5"/>
        <v>485.93699999999995</v>
      </c>
      <c r="O18" s="1">
        <v>38.869999999999997</v>
      </c>
      <c r="P18" s="1">
        <v>0</v>
      </c>
      <c r="Q18" s="1">
        <f t="shared" si="6"/>
        <v>0</v>
      </c>
      <c r="R18" s="1">
        <v>0</v>
      </c>
      <c r="S18" s="1">
        <f t="shared" si="7"/>
        <v>0</v>
      </c>
      <c r="T18" s="1">
        <f t="shared" si="8"/>
        <v>38.869999999999997</v>
      </c>
      <c r="U18" s="1">
        <f t="shared" si="9"/>
        <v>601.03300000000002</v>
      </c>
    </row>
    <row r="19" spans="1:21" s="7" customFormat="1" ht="38.25" customHeight="1">
      <c r="A19" s="46"/>
      <c r="B19" s="48" t="s">
        <v>25</v>
      </c>
      <c r="C19" s="2">
        <f>SUM(C16:C18)</f>
        <v>1076.2460000000005</v>
      </c>
      <c r="D19" s="2">
        <f t="shared" ref="D19:U19" si="12">SUM(D16:D18)</f>
        <v>0.53</v>
      </c>
      <c r="E19" s="2">
        <f t="shared" si="12"/>
        <v>0.53</v>
      </c>
      <c r="F19" s="2">
        <f t="shared" si="12"/>
        <v>0</v>
      </c>
      <c r="G19" s="2">
        <f t="shared" si="12"/>
        <v>0</v>
      </c>
      <c r="H19" s="2">
        <f t="shared" si="2"/>
        <v>1076.7760000000005</v>
      </c>
      <c r="I19" s="2">
        <f t="shared" si="12"/>
        <v>1296.3330000000001</v>
      </c>
      <c r="J19" s="2">
        <f t="shared" si="12"/>
        <v>1.8900000000000001</v>
      </c>
      <c r="K19" s="2">
        <f t="shared" si="12"/>
        <v>1.8900000000000001</v>
      </c>
      <c r="L19" s="2">
        <f t="shared" si="12"/>
        <v>0</v>
      </c>
      <c r="M19" s="2">
        <f t="shared" si="12"/>
        <v>0</v>
      </c>
      <c r="N19" s="2">
        <f t="shared" si="5"/>
        <v>1298.2230000000002</v>
      </c>
      <c r="O19" s="2">
        <f t="shared" si="12"/>
        <v>222.61200000000005</v>
      </c>
      <c r="P19" s="2">
        <f t="shared" si="12"/>
        <v>0</v>
      </c>
      <c r="Q19" s="2">
        <f t="shared" si="12"/>
        <v>0</v>
      </c>
      <c r="R19" s="2">
        <f t="shared" si="12"/>
        <v>0</v>
      </c>
      <c r="S19" s="2">
        <f t="shared" si="12"/>
        <v>0</v>
      </c>
      <c r="T19" s="2">
        <f t="shared" si="8"/>
        <v>222.61200000000005</v>
      </c>
      <c r="U19" s="2">
        <f t="shared" si="12"/>
        <v>2597.6110000000003</v>
      </c>
    </row>
    <row r="20" spans="1:21" ht="38.25" customHeight="1">
      <c r="A20" s="47">
        <v>11</v>
      </c>
      <c r="B20" s="49" t="s">
        <v>26</v>
      </c>
      <c r="C20" s="1">
        <v>630.56999999999994</v>
      </c>
      <c r="D20" s="1">
        <f>0.31+0.5</f>
        <v>0.81</v>
      </c>
      <c r="E20" s="1">
        <f t="shared" si="0"/>
        <v>0.81</v>
      </c>
      <c r="F20" s="1">
        <v>0</v>
      </c>
      <c r="G20" s="1">
        <f t="shared" si="1"/>
        <v>0</v>
      </c>
      <c r="H20" s="1">
        <f t="shared" si="2"/>
        <v>631.37999999999988</v>
      </c>
      <c r="I20" s="1">
        <v>399.18800000000016</v>
      </c>
      <c r="J20" s="1">
        <f>2.11</f>
        <v>2.11</v>
      </c>
      <c r="K20" s="1">
        <f t="shared" si="3"/>
        <v>2.11</v>
      </c>
      <c r="L20" s="1">
        <v>1.04</v>
      </c>
      <c r="M20" s="1">
        <f t="shared" si="4"/>
        <v>1.04</v>
      </c>
      <c r="N20" s="1">
        <f t="shared" si="5"/>
        <v>400.25800000000015</v>
      </c>
      <c r="O20" s="1">
        <v>40.350000000000009</v>
      </c>
      <c r="P20" s="1">
        <v>0</v>
      </c>
      <c r="Q20" s="1">
        <f t="shared" si="6"/>
        <v>0</v>
      </c>
      <c r="R20" s="1">
        <v>0</v>
      </c>
      <c r="S20" s="1">
        <f t="shared" si="7"/>
        <v>0</v>
      </c>
      <c r="T20" s="1">
        <f t="shared" si="8"/>
        <v>40.350000000000009</v>
      </c>
      <c r="U20" s="1">
        <f t="shared" si="9"/>
        <v>1071.9879999999998</v>
      </c>
    </row>
    <row r="21" spans="1:21" ht="38.25" customHeight="1">
      <c r="A21" s="47">
        <v>12</v>
      </c>
      <c r="B21" s="49" t="s">
        <v>27</v>
      </c>
      <c r="C21" s="1">
        <v>22.51</v>
      </c>
      <c r="D21" s="1">
        <v>0</v>
      </c>
      <c r="E21" s="1">
        <f t="shared" si="0"/>
        <v>0</v>
      </c>
      <c r="F21" s="1">
        <v>0</v>
      </c>
      <c r="G21" s="1">
        <f t="shared" si="1"/>
        <v>0</v>
      </c>
      <c r="H21" s="1">
        <f t="shared" si="2"/>
        <v>22.51</v>
      </c>
      <c r="I21" s="1">
        <v>398.11699999999996</v>
      </c>
      <c r="J21" s="1">
        <f>0.98+15.74</f>
        <v>16.72</v>
      </c>
      <c r="K21" s="1">
        <f t="shared" si="3"/>
        <v>16.72</v>
      </c>
      <c r="L21" s="1">
        <v>0</v>
      </c>
      <c r="M21" s="1">
        <f t="shared" si="4"/>
        <v>0</v>
      </c>
      <c r="N21" s="1">
        <f t="shared" si="5"/>
        <v>414.83699999999999</v>
      </c>
      <c r="O21" s="1">
        <v>19.369999999999997</v>
      </c>
      <c r="P21" s="1">
        <v>0</v>
      </c>
      <c r="Q21" s="1">
        <f t="shared" si="6"/>
        <v>0</v>
      </c>
      <c r="R21" s="1">
        <v>0</v>
      </c>
      <c r="S21" s="1">
        <f t="shared" si="7"/>
        <v>0</v>
      </c>
      <c r="T21" s="1">
        <f t="shared" si="8"/>
        <v>19.369999999999997</v>
      </c>
      <c r="U21" s="1">
        <f t="shared" si="9"/>
        <v>456.71699999999998</v>
      </c>
    </row>
    <row r="22" spans="1:21" s="7" customFormat="1" ht="38.25" customHeight="1">
      <c r="A22" s="47">
        <v>13</v>
      </c>
      <c r="B22" s="49" t="s">
        <v>28</v>
      </c>
      <c r="C22" s="1">
        <v>22.430000000000021</v>
      </c>
      <c r="D22" s="1">
        <v>0</v>
      </c>
      <c r="E22" s="1">
        <f t="shared" si="0"/>
        <v>0</v>
      </c>
      <c r="F22" s="1">
        <v>0</v>
      </c>
      <c r="G22" s="1">
        <f t="shared" si="1"/>
        <v>0</v>
      </c>
      <c r="H22" s="1">
        <f t="shared" si="2"/>
        <v>22.430000000000021</v>
      </c>
      <c r="I22" s="1">
        <v>688.97</v>
      </c>
      <c r="J22" s="1">
        <f>1.22+0.08</f>
        <v>1.3</v>
      </c>
      <c r="K22" s="1">
        <f t="shared" si="3"/>
        <v>1.3</v>
      </c>
      <c r="L22" s="1">
        <v>0</v>
      </c>
      <c r="M22" s="1">
        <f t="shared" si="4"/>
        <v>0</v>
      </c>
      <c r="N22" s="1">
        <f t="shared" si="5"/>
        <v>690.27</v>
      </c>
      <c r="O22" s="1">
        <v>0.60000000000000098</v>
      </c>
      <c r="P22" s="1">
        <v>0</v>
      </c>
      <c r="Q22" s="1">
        <f t="shared" si="6"/>
        <v>0</v>
      </c>
      <c r="R22" s="1">
        <v>0</v>
      </c>
      <c r="S22" s="1">
        <f t="shared" si="7"/>
        <v>0</v>
      </c>
      <c r="T22" s="1">
        <f t="shared" si="8"/>
        <v>0.60000000000000098</v>
      </c>
      <c r="U22" s="1">
        <f t="shared" si="9"/>
        <v>713.30000000000007</v>
      </c>
    </row>
    <row r="23" spans="1:21" s="7" customFormat="1" ht="38.25" customHeight="1">
      <c r="A23" s="47">
        <v>14</v>
      </c>
      <c r="B23" s="49" t="s">
        <v>29</v>
      </c>
      <c r="C23" s="1">
        <v>427.24</v>
      </c>
      <c r="D23" s="1">
        <v>3.4</v>
      </c>
      <c r="E23" s="1">
        <f t="shared" si="0"/>
        <v>3.4</v>
      </c>
      <c r="F23" s="1">
        <v>0</v>
      </c>
      <c r="G23" s="1">
        <f t="shared" si="1"/>
        <v>0</v>
      </c>
      <c r="H23" s="1">
        <f t="shared" si="2"/>
        <v>430.64</v>
      </c>
      <c r="I23" s="1">
        <v>101.88500000000001</v>
      </c>
      <c r="J23" s="1">
        <f>4.8+1.55</f>
        <v>6.35</v>
      </c>
      <c r="K23" s="1">
        <f t="shared" si="3"/>
        <v>6.35</v>
      </c>
      <c r="L23" s="1">
        <v>0</v>
      </c>
      <c r="M23" s="1">
        <f t="shared" si="4"/>
        <v>0</v>
      </c>
      <c r="N23" s="1">
        <f t="shared" si="5"/>
        <v>108.235</v>
      </c>
      <c r="O23" s="1">
        <v>22.5</v>
      </c>
      <c r="P23" s="1">
        <v>0</v>
      </c>
      <c r="Q23" s="1">
        <f t="shared" si="6"/>
        <v>0</v>
      </c>
      <c r="R23" s="1">
        <v>0</v>
      </c>
      <c r="S23" s="1">
        <f t="shared" si="7"/>
        <v>0</v>
      </c>
      <c r="T23" s="1">
        <f t="shared" si="8"/>
        <v>22.5</v>
      </c>
      <c r="U23" s="1">
        <f t="shared" si="9"/>
        <v>561.375</v>
      </c>
    </row>
    <row r="24" spans="1:21" s="7" customFormat="1" ht="38.25" customHeight="1">
      <c r="A24" s="46"/>
      <c r="B24" s="48" t="s">
        <v>30</v>
      </c>
      <c r="C24" s="2">
        <f>SUM(C20:C23)</f>
        <v>1102.75</v>
      </c>
      <c r="D24" s="2">
        <f t="shared" ref="D24:U24" si="13">SUM(D20:D23)</f>
        <v>4.21</v>
      </c>
      <c r="E24" s="2">
        <f t="shared" si="13"/>
        <v>4.21</v>
      </c>
      <c r="F24" s="2">
        <f t="shared" si="13"/>
        <v>0</v>
      </c>
      <c r="G24" s="2">
        <f t="shared" si="13"/>
        <v>0</v>
      </c>
      <c r="H24" s="2">
        <f t="shared" si="2"/>
        <v>1106.96</v>
      </c>
      <c r="I24" s="2">
        <f t="shared" si="13"/>
        <v>1588.16</v>
      </c>
      <c r="J24" s="2">
        <f t="shared" si="13"/>
        <v>26.479999999999997</v>
      </c>
      <c r="K24" s="2">
        <f t="shared" si="13"/>
        <v>26.479999999999997</v>
      </c>
      <c r="L24" s="2">
        <f t="shared" si="13"/>
        <v>1.04</v>
      </c>
      <c r="M24" s="2">
        <f t="shared" si="13"/>
        <v>1.04</v>
      </c>
      <c r="N24" s="2">
        <f t="shared" si="5"/>
        <v>1613.6000000000001</v>
      </c>
      <c r="O24" s="2">
        <f t="shared" si="13"/>
        <v>82.820000000000007</v>
      </c>
      <c r="P24" s="2">
        <f t="shared" si="13"/>
        <v>0</v>
      </c>
      <c r="Q24" s="2">
        <f t="shared" si="13"/>
        <v>0</v>
      </c>
      <c r="R24" s="2">
        <f t="shared" si="13"/>
        <v>0</v>
      </c>
      <c r="S24" s="2">
        <f t="shared" si="13"/>
        <v>0</v>
      </c>
      <c r="T24" s="2">
        <f t="shared" si="8"/>
        <v>82.820000000000007</v>
      </c>
      <c r="U24" s="2">
        <f t="shared" si="13"/>
        <v>2803.38</v>
      </c>
    </row>
    <row r="25" spans="1:21" s="7" customFormat="1" ht="38.25" customHeight="1">
      <c r="A25" s="46"/>
      <c r="B25" s="48" t="s">
        <v>31</v>
      </c>
      <c r="C25" s="2">
        <f>C24+C19+C15+C11</f>
        <v>4627.5659999999998</v>
      </c>
      <c r="D25" s="2">
        <f t="shared" ref="D25:U25" si="14">D24+D19+D15+D11</f>
        <v>4.74</v>
      </c>
      <c r="E25" s="2">
        <f t="shared" si="14"/>
        <v>4.74</v>
      </c>
      <c r="F25" s="2">
        <f t="shared" si="14"/>
        <v>0</v>
      </c>
      <c r="G25" s="2">
        <f t="shared" si="14"/>
        <v>0</v>
      </c>
      <c r="H25" s="2">
        <f t="shared" si="2"/>
        <v>4632.3059999999996</v>
      </c>
      <c r="I25" s="2">
        <f t="shared" si="14"/>
        <v>7022.1180000000004</v>
      </c>
      <c r="J25" s="2">
        <f t="shared" si="14"/>
        <v>38.924999999999997</v>
      </c>
      <c r="K25" s="2">
        <f t="shared" si="14"/>
        <v>38.924999999999997</v>
      </c>
      <c r="L25" s="2">
        <f t="shared" si="14"/>
        <v>1.04</v>
      </c>
      <c r="M25" s="2">
        <f t="shared" si="14"/>
        <v>1.04</v>
      </c>
      <c r="N25" s="2">
        <f t="shared" si="5"/>
        <v>7060.0030000000006</v>
      </c>
      <c r="O25" s="2">
        <f t="shared" si="14"/>
        <v>592.67800000000011</v>
      </c>
      <c r="P25" s="2">
        <f t="shared" si="14"/>
        <v>0</v>
      </c>
      <c r="Q25" s="2">
        <f t="shared" si="14"/>
        <v>0</v>
      </c>
      <c r="R25" s="2">
        <f t="shared" si="14"/>
        <v>1.01</v>
      </c>
      <c r="S25" s="2">
        <f t="shared" si="14"/>
        <v>1.01</v>
      </c>
      <c r="T25" s="2">
        <f t="shared" si="8"/>
        <v>591.66800000000012</v>
      </c>
      <c r="U25" s="2">
        <f t="shared" si="14"/>
        <v>12283.976999999999</v>
      </c>
    </row>
    <row r="26" spans="1:21" ht="38.25" customHeight="1">
      <c r="A26" s="47">
        <v>15</v>
      </c>
      <c r="B26" s="49" t="s">
        <v>32</v>
      </c>
      <c r="C26" s="1">
        <v>1552.9799999999998</v>
      </c>
      <c r="D26" s="1">
        <v>2.0299999999999998</v>
      </c>
      <c r="E26" s="1">
        <f t="shared" si="0"/>
        <v>2.0299999999999998</v>
      </c>
      <c r="F26" s="1">
        <v>0</v>
      </c>
      <c r="G26" s="1">
        <f t="shared" si="1"/>
        <v>0</v>
      </c>
      <c r="H26" s="1">
        <f t="shared" si="2"/>
        <v>1555.0099999999998</v>
      </c>
      <c r="I26" s="1">
        <v>67.33</v>
      </c>
      <c r="J26" s="1">
        <v>0</v>
      </c>
      <c r="K26" s="1">
        <f t="shared" si="3"/>
        <v>0</v>
      </c>
      <c r="L26" s="1">
        <v>0</v>
      </c>
      <c r="M26" s="1">
        <f t="shared" si="4"/>
        <v>0</v>
      </c>
      <c r="N26" s="1">
        <f t="shared" si="5"/>
        <v>67.33</v>
      </c>
      <c r="O26" s="1">
        <v>16.11</v>
      </c>
      <c r="P26" s="1">
        <v>0</v>
      </c>
      <c r="Q26" s="1">
        <f t="shared" si="6"/>
        <v>0</v>
      </c>
      <c r="R26" s="1">
        <v>0</v>
      </c>
      <c r="S26" s="1">
        <f t="shared" si="7"/>
        <v>0</v>
      </c>
      <c r="T26" s="1">
        <f t="shared" si="8"/>
        <v>16.11</v>
      </c>
      <c r="U26" s="1">
        <f t="shared" si="9"/>
        <v>1638.4499999999996</v>
      </c>
    </row>
    <row r="27" spans="1:21" s="7" customFormat="1" ht="38.25" customHeight="1">
      <c r="A27" s="47">
        <v>16</v>
      </c>
      <c r="B27" s="49" t="s">
        <v>33</v>
      </c>
      <c r="C27" s="1">
        <v>5576.7050000000017</v>
      </c>
      <c r="D27" s="1">
        <v>10.85</v>
      </c>
      <c r="E27" s="1">
        <f t="shared" si="0"/>
        <v>10.85</v>
      </c>
      <c r="F27" s="1">
        <v>0</v>
      </c>
      <c r="G27" s="1">
        <f t="shared" si="1"/>
        <v>0</v>
      </c>
      <c r="H27" s="1">
        <f t="shared" si="2"/>
        <v>5587.5550000000021</v>
      </c>
      <c r="I27" s="1">
        <v>594.18799999999999</v>
      </c>
      <c r="J27" s="1">
        <v>2.14</v>
      </c>
      <c r="K27" s="1">
        <f t="shared" si="3"/>
        <v>2.14</v>
      </c>
      <c r="L27" s="1">
        <v>0</v>
      </c>
      <c r="M27" s="1">
        <f t="shared" si="4"/>
        <v>0</v>
      </c>
      <c r="N27" s="1">
        <f t="shared" si="5"/>
        <v>596.32799999999997</v>
      </c>
      <c r="O27" s="1">
        <v>33.49</v>
      </c>
      <c r="P27" s="1">
        <v>0</v>
      </c>
      <c r="Q27" s="1">
        <f t="shared" si="6"/>
        <v>0</v>
      </c>
      <c r="R27" s="1">
        <v>0</v>
      </c>
      <c r="S27" s="1">
        <f t="shared" si="7"/>
        <v>0</v>
      </c>
      <c r="T27" s="1">
        <f t="shared" si="8"/>
        <v>33.49</v>
      </c>
      <c r="U27" s="1">
        <f t="shared" si="9"/>
        <v>6217.3730000000014</v>
      </c>
    </row>
    <row r="28" spans="1:21" s="7" customFormat="1" ht="38.25" customHeight="1">
      <c r="A28" s="46"/>
      <c r="B28" s="48" t="s">
        <v>34</v>
      </c>
      <c r="C28" s="2">
        <f>SUM(C26:C27)</f>
        <v>7129.6850000000013</v>
      </c>
      <c r="D28" s="2">
        <f t="shared" ref="D28:U28" si="15">SUM(D26:D27)</f>
        <v>12.879999999999999</v>
      </c>
      <c r="E28" s="2">
        <f t="shared" si="15"/>
        <v>12.879999999999999</v>
      </c>
      <c r="F28" s="2">
        <f t="shared" si="15"/>
        <v>0</v>
      </c>
      <c r="G28" s="2">
        <f t="shared" si="15"/>
        <v>0</v>
      </c>
      <c r="H28" s="2">
        <f t="shared" si="2"/>
        <v>7142.5650000000014</v>
      </c>
      <c r="I28" s="2">
        <f t="shared" si="15"/>
        <v>661.51800000000003</v>
      </c>
      <c r="J28" s="2">
        <f t="shared" si="15"/>
        <v>2.14</v>
      </c>
      <c r="K28" s="2">
        <f t="shared" si="15"/>
        <v>2.14</v>
      </c>
      <c r="L28" s="2">
        <f t="shared" si="15"/>
        <v>0</v>
      </c>
      <c r="M28" s="2">
        <f t="shared" si="15"/>
        <v>0</v>
      </c>
      <c r="N28" s="2">
        <f t="shared" si="5"/>
        <v>663.65800000000002</v>
      </c>
      <c r="O28" s="2">
        <f t="shared" si="15"/>
        <v>49.6</v>
      </c>
      <c r="P28" s="2">
        <f t="shared" si="15"/>
        <v>0</v>
      </c>
      <c r="Q28" s="2">
        <f t="shared" si="15"/>
        <v>0</v>
      </c>
      <c r="R28" s="2">
        <f t="shared" si="15"/>
        <v>0</v>
      </c>
      <c r="S28" s="2">
        <f t="shared" si="15"/>
        <v>0</v>
      </c>
      <c r="T28" s="2">
        <f t="shared" si="8"/>
        <v>49.6</v>
      </c>
      <c r="U28" s="2">
        <f t="shared" si="15"/>
        <v>7855.8230000000012</v>
      </c>
    </row>
    <row r="29" spans="1:21" ht="38.25" customHeight="1">
      <c r="A29" s="47">
        <v>17</v>
      </c>
      <c r="B29" s="49" t="s">
        <v>35</v>
      </c>
      <c r="C29" s="1">
        <v>4454.4680000000017</v>
      </c>
      <c r="D29" s="1">
        <v>2.95</v>
      </c>
      <c r="E29" s="1">
        <f t="shared" si="0"/>
        <v>2.95</v>
      </c>
      <c r="F29" s="1">
        <v>0</v>
      </c>
      <c r="G29" s="1">
        <f t="shared" si="1"/>
        <v>0</v>
      </c>
      <c r="H29" s="1">
        <f t="shared" si="2"/>
        <v>4457.4180000000015</v>
      </c>
      <c r="I29" s="1">
        <v>151.81</v>
      </c>
      <c r="J29" s="1">
        <v>0</v>
      </c>
      <c r="K29" s="1">
        <f t="shared" si="3"/>
        <v>0</v>
      </c>
      <c r="L29" s="1">
        <v>0</v>
      </c>
      <c r="M29" s="1">
        <f t="shared" si="4"/>
        <v>0</v>
      </c>
      <c r="N29" s="1">
        <f t="shared" si="5"/>
        <v>151.81</v>
      </c>
      <c r="O29" s="1">
        <v>57.720000000000006</v>
      </c>
      <c r="P29" s="1">
        <v>0</v>
      </c>
      <c r="Q29" s="1">
        <f t="shared" si="6"/>
        <v>0</v>
      </c>
      <c r="R29" s="1">
        <v>23.2</v>
      </c>
      <c r="S29" s="1">
        <f t="shared" si="7"/>
        <v>23.2</v>
      </c>
      <c r="T29" s="1">
        <f t="shared" si="8"/>
        <v>34.52000000000001</v>
      </c>
      <c r="U29" s="1">
        <f t="shared" si="9"/>
        <v>4643.7480000000023</v>
      </c>
    </row>
    <row r="30" spans="1:21" ht="54.75" customHeight="1">
      <c r="A30" s="47">
        <v>18</v>
      </c>
      <c r="B30" s="49" t="s">
        <v>36</v>
      </c>
      <c r="C30" s="1">
        <v>3575.37</v>
      </c>
      <c r="D30" s="1">
        <v>19.420000000000002</v>
      </c>
      <c r="E30" s="1">
        <f t="shared" si="0"/>
        <v>19.420000000000002</v>
      </c>
      <c r="F30" s="1">
        <v>0</v>
      </c>
      <c r="G30" s="1">
        <f t="shared" si="1"/>
        <v>0</v>
      </c>
      <c r="H30" s="1">
        <f t="shared" si="2"/>
        <v>3594.79</v>
      </c>
      <c r="I30" s="1">
        <v>41.697000000000003</v>
      </c>
      <c r="J30" s="1">
        <v>0</v>
      </c>
      <c r="K30" s="1">
        <f t="shared" si="3"/>
        <v>0</v>
      </c>
      <c r="L30" s="1">
        <v>0</v>
      </c>
      <c r="M30" s="1">
        <f t="shared" si="4"/>
        <v>0</v>
      </c>
      <c r="N30" s="1">
        <f t="shared" si="5"/>
        <v>41.697000000000003</v>
      </c>
      <c r="O30" s="1">
        <v>23.25</v>
      </c>
      <c r="P30" s="1">
        <v>0</v>
      </c>
      <c r="Q30" s="1">
        <f t="shared" si="6"/>
        <v>0</v>
      </c>
      <c r="R30" s="1">
        <v>0</v>
      </c>
      <c r="S30" s="1">
        <f t="shared" si="7"/>
        <v>0</v>
      </c>
      <c r="T30" s="1">
        <f t="shared" si="8"/>
        <v>23.25</v>
      </c>
      <c r="U30" s="1">
        <f t="shared" si="9"/>
        <v>3659.7370000000001</v>
      </c>
    </row>
    <row r="31" spans="1:21" s="7" customFormat="1" ht="44.25" customHeight="1">
      <c r="A31" s="47">
        <v>19</v>
      </c>
      <c r="B31" s="49" t="s">
        <v>37</v>
      </c>
      <c r="C31" s="1">
        <v>4589.9989999999998</v>
      </c>
      <c r="D31" s="1">
        <f>2.81</f>
        <v>2.81</v>
      </c>
      <c r="E31" s="1">
        <f t="shared" si="0"/>
        <v>2.81</v>
      </c>
      <c r="F31" s="1">
        <v>0</v>
      </c>
      <c r="G31" s="1">
        <f t="shared" si="1"/>
        <v>0</v>
      </c>
      <c r="H31" s="1">
        <f t="shared" si="2"/>
        <v>4592.8090000000002</v>
      </c>
      <c r="I31" s="1">
        <v>86.710000000000022</v>
      </c>
      <c r="J31" s="1">
        <v>0</v>
      </c>
      <c r="K31" s="1">
        <f t="shared" si="3"/>
        <v>0</v>
      </c>
      <c r="L31" s="1">
        <v>0</v>
      </c>
      <c r="M31" s="1">
        <f t="shared" si="4"/>
        <v>0</v>
      </c>
      <c r="N31" s="1">
        <f t="shared" si="5"/>
        <v>86.710000000000022</v>
      </c>
      <c r="O31" s="1">
        <v>14.850000000000001</v>
      </c>
      <c r="P31" s="1">
        <v>0</v>
      </c>
      <c r="Q31" s="1">
        <f t="shared" si="6"/>
        <v>0</v>
      </c>
      <c r="R31" s="1">
        <v>0</v>
      </c>
      <c r="S31" s="1">
        <f t="shared" si="7"/>
        <v>0</v>
      </c>
      <c r="T31" s="1">
        <f t="shared" si="8"/>
        <v>14.850000000000001</v>
      </c>
      <c r="U31" s="1">
        <f t="shared" si="9"/>
        <v>4694.3690000000006</v>
      </c>
    </row>
    <row r="32" spans="1:21" ht="70.5" customHeight="1">
      <c r="A32" s="47">
        <v>20</v>
      </c>
      <c r="B32" s="49" t="s">
        <v>38</v>
      </c>
      <c r="C32" s="1">
        <v>2342.8557999999994</v>
      </c>
      <c r="D32" s="1">
        <v>3.24</v>
      </c>
      <c r="E32" s="1">
        <f t="shared" si="0"/>
        <v>3.24</v>
      </c>
      <c r="F32" s="1">
        <v>0</v>
      </c>
      <c r="G32" s="1">
        <f t="shared" si="1"/>
        <v>0</v>
      </c>
      <c r="H32" s="1">
        <f t="shared" si="2"/>
        <v>2346.0957999999991</v>
      </c>
      <c r="I32" s="1">
        <v>391.83599999999996</v>
      </c>
      <c r="J32" s="1">
        <v>0</v>
      </c>
      <c r="K32" s="1">
        <f t="shared" si="3"/>
        <v>0</v>
      </c>
      <c r="L32" s="1">
        <v>0</v>
      </c>
      <c r="M32" s="1">
        <f t="shared" si="4"/>
        <v>0</v>
      </c>
      <c r="N32" s="1">
        <f t="shared" si="5"/>
        <v>391.83599999999996</v>
      </c>
      <c r="O32" s="1">
        <v>67.551999999999992</v>
      </c>
      <c r="P32" s="1">
        <v>0</v>
      </c>
      <c r="Q32" s="1">
        <f t="shared" si="6"/>
        <v>0</v>
      </c>
      <c r="R32" s="1">
        <v>0</v>
      </c>
      <c r="S32" s="1">
        <f t="shared" si="7"/>
        <v>0</v>
      </c>
      <c r="T32" s="1">
        <f t="shared" si="8"/>
        <v>67.551999999999992</v>
      </c>
      <c r="U32" s="1">
        <f t="shared" si="9"/>
        <v>2805.4837999999991</v>
      </c>
    </row>
    <row r="33" spans="1:23" s="7" customFormat="1" ht="38.25" customHeight="1">
      <c r="A33" s="46"/>
      <c r="B33" s="48" t="s">
        <v>65</v>
      </c>
      <c r="C33" s="2">
        <f>SUM(C29:C32)</f>
        <v>14962.692800000001</v>
      </c>
      <c r="D33" s="2">
        <f t="shared" ref="D33:U33" si="16">SUM(D29:D32)</f>
        <v>28.42</v>
      </c>
      <c r="E33" s="2">
        <f t="shared" si="16"/>
        <v>28.42</v>
      </c>
      <c r="F33" s="2">
        <f t="shared" si="16"/>
        <v>0</v>
      </c>
      <c r="G33" s="2">
        <f t="shared" si="16"/>
        <v>0</v>
      </c>
      <c r="H33" s="2">
        <f t="shared" si="2"/>
        <v>14991.112800000001</v>
      </c>
      <c r="I33" s="2">
        <f t="shared" si="16"/>
        <v>672.053</v>
      </c>
      <c r="J33" s="2">
        <f t="shared" si="16"/>
        <v>0</v>
      </c>
      <c r="K33" s="2">
        <f t="shared" si="16"/>
        <v>0</v>
      </c>
      <c r="L33" s="2">
        <f t="shared" si="16"/>
        <v>0</v>
      </c>
      <c r="M33" s="2">
        <f t="shared" si="16"/>
        <v>0</v>
      </c>
      <c r="N33" s="2">
        <f t="shared" si="5"/>
        <v>672.053</v>
      </c>
      <c r="O33" s="2">
        <f t="shared" si="16"/>
        <v>163.37199999999999</v>
      </c>
      <c r="P33" s="2">
        <f t="shared" si="16"/>
        <v>0</v>
      </c>
      <c r="Q33" s="2">
        <f t="shared" si="16"/>
        <v>0</v>
      </c>
      <c r="R33" s="2">
        <f t="shared" si="16"/>
        <v>23.2</v>
      </c>
      <c r="S33" s="2">
        <f t="shared" si="16"/>
        <v>23.2</v>
      </c>
      <c r="T33" s="2">
        <f t="shared" si="8"/>
        <v>140.172</v>
      </c>
      <c r="U33" s="2">
        <f t="shared" si="16"/>
        <v>15803.337800000001</v>
      </c>
    </row>
    <row r="34" spans="1:23" ht="38.25" customHeight="1">
      <c r="A34" s="47">
        <v>21</v>
      </c>
      <c r="B34" s="49" t="s">
        <v>39</v>
      </c>
      <c r="C34" s="1">
        <v>4439.1000000000004</v>
      </c>
      <c r="D34" s="1">
        <v>11.45</v>
      </c>
      <c r="E34" s="1">
        <f t="shared" si="0"/>
        <v>11.45</v>
      </c>
      <c r="F34" s="1">
        <v>0</v>
      </c>
      <c r="G34" s="1">
        <f t="shared" si="1"/>
        <v>0</v>
      </c>
      <c r="H34" s="1">
        <f t="shared" si="2"/>
        <v>4450.55</v>
      </c>
      <c r="I34" s="1">
        <v>0</v>
      </c>
      <c r="J34" s="1">
        <v>0</v>
      </c>
      <c r="K34" s="1">
        <f t="shared" si="3"/>
        <v>0</v>
      </c>
      <c r="L34" s="1">
        <v>0</v>
      </c>
      <c r="M34" s="1">
        <f t="shared" si="4"/>
        <v>0</v>
      </c>
      <c r="N34" s="1">
        <f t="shared" si="5"/>
        <v>0</v>
      </c>
      <c r="O34" s="1">
        <v>0</v>
      </c>
      <c r="P34" s="1">
        <v>0</v>
      </c>
      <c r="Q34" s="1">
        <f t="shared" si="6"/>
        <v>0</v>
      </c>
      <c r="R34" s="1">
        <v>0</v>
      </c>
      <c r="S34" s="1">
        <f t="shared" si="7"/>
        <v>0</v>
      </c>
      <c r="T34" s="1">
        <f t="shared" si="8"/>
        <v>0</v>
      </c>
      <c r="U34" s="1">
        <f t="shared" si="9"/>
        <v>4450.55</v>
      </c>
    </row>
    <row r="35" spans="1:23" ht="38.25" customHeight="1">
      <c r="A35" s="47">
        <v>22</v>
      </c>
      <c r="B35" s="49" t="s">
        <v>40</v>
      </c>
      <c r="C35" s="1">
        <v>6209.5799999999972</v>
      </c>
      <c r="D35" s="1">
        <v>58.71</v>
      </c>
      <c r="E35" s="1">
        <f t="shared" si="0"/>
        <v>58.71</v>
      </c>
      <c r="F35" s="1">
        <v>0</v>
      </c>
      <c r="G35" s="1">
        <f t="shared" si="1"/>
        <v>0</v>
      </c>
      <c r="H35" s="1">
        <f t="shared" si="2"/>
        <v>6268.2899999999972</v>
      </c>
      <c r="I35" s="1">
        <v>6.92</v>
      </c>
      <c r="J35" s="1">
        <v>5.69</v>
      </c>
      <c r="K35" s="1">
        <f t="shared" si="3"/>
        <v>5.69</v>
      </c>
      <c r="L35" s="1">
        <v>0</v>
      </c>
      <c r="M35" s="1">
        <f t="shared" si="4"/>
        <v>0</v>
      </c>
      <c r="N35" s="1">
        <f t="shared" si="5"/>
        <v>12.61</v>
      </c>
      <c r="O35" s="1">
        <v>58.420000000000009</v>
      </c>
      <c r="P35" s="1">
        <v>16.190000000000001</v>
      </c>
      <c r="Q35" s="1">
        <f t="shared" si="6"/>
        <v>16.190000000000001</v>
      </c>
      <c r="R35" s="1">
        <v>0</v>
      </c>
      <c r="S35" s="1">
        <f t="shared" si="7"/>
        <v>0</v>
      </c>
      <c r="T35" s="1">
        <f t="shared" si="8"/>
        <v>74.610000000000014</v>
      </c>
      <c r="U35" s="1">
        <f t="shared" si="9"/>
        <v>6355.5099999999966</v>
      </c>
    </row>
    <row r="36" spans="1:23" s="7" customFormat="1" ht="38.25" customHeight="1">
      <c r="A36" s="47">
        <v>23</v>
      </c>
      <c r="B36" s="49" t="s">
        <v>41</v>
      </c>
      <c r="C36" s="1">
        <v>3451.1</v>
      </c>
      <c r="D36" s="1">
        <v>18.96</v>
      </c>
      <c r="E36" s="1">
        <f t="shared" si="0"/>
        <v>18.96</v>
      </c>
      <c r="F36" s="1">
        <v>0</v>
      </c>
      <c r="G36" s="1">
        <f t="shared" si="1"/>
        <v>0</v>
      </c>
      <c r="H36" s="1">
        <f t="shared" si="2"/>
        <v>3470.06</v>
      </c>
      <c r="I36" s="1">
        <v>29.680000000000039</v>
      </c>
      <c r="J36" s="1">
        <v>0</v>
      </c>
      <c r="K36" s="1">
        <f t="shared" si="3"/>
        <v>0</v>
      </c>
      <c r="L36" s="1">
        <v>4.63</v>
      </c>
      <c r="M36" s="1">
        <f t="shared" si="4"/>
        <v>4.63</v>
      </c>
      <c r="N36" s="1">
        <f t="shared" si="5"/>
        <v>25.05000000000004</v>
      </c>
      <c r="O36" s="1">
        <v>17.09</v>
      </c>
      <c r="P36" s="1">
        <f>3.46+15.83</f>
        <v>19.29</v>
      </c>
      <c r="Q36" s="1">
        <f t="shared" si="6"/>
        <v>19.29</v>
      </c>
      <c r="R36" s="1">
        <v>0</v>
      </c>
      <c r="S36" s="1">
        <f t="shared" si="7"/>
        <v>0</v>
      </c>
      <c r="T36" s="1">
        <f t="shared" si="8"/>
        <v>36.379999999999995</v>
      </c>
      <c r="U36" s="1">
        <f t="shared" si="9"/>
        <v>3531.4900000000002</v>
      </c>
    </row>
    <row r="37" spans="1:23" s="7" customFormat="1" ht="38.25" customHeight="1">
      <c r="A37" s="47">
        <v>24</v>
      </c>
      <c r="B37" s="49" t="s">
        <v>42</v>
      </c>
      <c r="C37" s="1">
        <v>4788.1199999999972</v>
      </c>
      <c r="D37" s="1">
        <v>5.51</v>
      </c>
      <c r="E37" s="1">
        <f t="shared" si="0"/>
        <v>5.51</v>
      </c>
      <c r="F37" s="1">
        <v>0</v>
      </c>
      <c r="G37" s="1">
        <f t="shared" si="1"/>
        <v>0</v>
      </c>
      <c r="H37" s="1">
        <f t="shared" si="2"/>
        <v>4793.6299999999974</v>
      </c>
      <c r="I37" s="1">
        <v>13.490000000000002</v>
      </c>
      <c r="J37" s="1">
        <v>0</v>
      </c>
      <c r="K37" s="1">
        <f t="shared" si="3"/>
        <v>0</v>
      </c>
      <c r="L37" s="1">
        <v>1.06</v>
      </c>
      <c r="M37" s="1">
        <f t="shared" si="4"/>
        <v>1.06</v>
      </c>
      <c r="N37" s="1">
        <f t="shared" si="5"/>
        <v>12.430000000000001</v>
      </c>
      <c r="O37" s="1">
        <v>6.52</v>
      </c>
      <c r="P37" s="1">
        <v>0</v>
      </c>
      <c r="Q37" s="1">
        <f t="shared" si="6"/>
        <v>0</v>
      </c>
      <c r="R37" s="1">
        <v>3.46</v>
      </c>
      <c r="S37" s="1">
        <f t="shared" si="7"/>
        <v>3.46</v>
      </c>
      <c r="T37" s="1">
        <f t="shared" si="8"/>
        <v>3.0599999999999996</v>
      </c>
      <c r="U37" s="1">
        <f t="shared" si="9"/>
        <v>4809.1199999999981</v>
      </c>
    </row>
    <row r="38" spans="1:23" s="7" customFormat="1" ht="38.25" customHeight="1">
      <c r="A38" s="46"/>
      <c r="B38" s="48" t="s">
        <v>43</v>
      </c>
      <c r="C38" s="2">
        <f>SUM(C34:C37)</f>
        <v>18887.899999999994</v>
      </c>
      <c r="D38" s="2">
        <f t="shared" ref="D38:U38" si="17">SUM(D34:D37)</f>
        <v>94.63000000000001</v>
      </c>
      <c r="E38" s="2">
        <f t="shared" si="17"/>
        <v>94.63000000000001</v>
      </c>
      <c r="F38" s="2">
        <f t="shared" si="17"/>
        <v>0</v>
      </c>
      <c r="G38" s="2">
        <f t="shared" si="17"/>
        <v>0</v>
      </c>
      <c r="H38" s="2">
        <f t="shared" si="2"/>
        <v>18982.529999999995</v>
      </c>
      <c r="I38" s="2">
        <f t="shared" si="17"/>
        <v>50.090000000000039</v>
      </c>
      <c r="J38" s="2">
        <f t="shared" si="17"/>
        <v>5.69</v>
      </c>
      <c r="K38" s="2">
        <f t="shared" si="17"/>
        <v>5.69</v>
      </c>
      <c r="L38" s="2">
        <f t="shared" si="17"/>
        <v>5.6899999999999995</v>
      </c>
      <c r="M38" s="2">
        <f t="shared" si="17"/>
        <v>5.6899999999999995</v>
      </c>
      <c r="N38" s="2">
        <f t="shared" si="5"/>
        <v>50.090000000000039</v>
      </c>
      <c r="O38" s="2">
        <f t="shared" si="17"/>
        <v>82.03</v>
      </c>
      <c r="P38" s="2">
        <f t="shared" si="17"/>
        <v>35.480000000000004</v>
      </c>
      <c r="Q38" s="2">
        <f t="shared" si="17"/>
        <v>35.480000000000004</v>
      </c>
      <c r="R38" s="2">
        <f t="shared" si="17"/>
        <v>3.46</v>
      </c>
      <c r="S38" s="2">
        <f t="shared" si="17"/>
        <v>3.46</v>
      </c>
      <c r="T38" s="2">
        <f t="shared" si="8"/>
        <v>114.05000000000001</v>
      </c>
      <c r="U38" s="2">
        <f t="shared" si="17"/>
        <v>19146.669999999995</v>
      </c>
    </row>
    <row r="39" spans="1:23" s="7" customFormat="1" ht="38.25" customHeight="1">
      <c r="A39" s="46"/>
      <c r="B39" s="48" t="s">
        <v>44</v>
      </c>
      <c r="C39" s="2">
        <f>C38+C33+C28</f>
        <v>40980.277799999996</v>
      </c>
      <c r="D39" s="2">
        <f t="shared" ref="D39:U39" si="18">D38+D33+D28</f>
        <v>135.93</v>
      </c>
      <c r="E39" s="2">
        <f t="shared" si="18"/>
        <v>135.93</v>
      </c>
      <c r="F39" s="2">
        <f t="shared" si="18"/>
        <v>0</v>
      </c>
      <c r="G39" s="2">
        <f t="shared" si="18"/>
        <v>0</v>
      </c>
      <c r="H39" s="2">
        <f t="shared" si="2"/>
        <v>41116.207799999996</v>
      </c>
      <c r="I39" s="2">
        <f t="shared" si="18"/>
        <v>1383.6610000000001</v>
      </c>
      <c r="J39" s="2">
        <f t="shared" si="18"/>
        <v>7.83</v>
      </c>
      <c r="K39" s="2">
        <f t="shared" si="18"/>
        <v>7.83</v>
      </c>
      <c r="L39" s="2">
        <f t="shared" si="18"/>
        <v>5.6899999999999995</v>
      </c>
      <c r="M39" s="2">
        <f t="shared" si="18"/>
        <v>5.6899999999999995</v>
      </c>
      <c r="N39" s="2">
        <f t="shared" si="5"/>
        <v>1385.8009999999999</v>
      </c>
      <c r="O39" s="2">
        <f t="shared" si="18"/>
        <v>295.00200000000001</v>
      </c>
      <c r="P39" s="2">
        <f t="shared" si="18"/>
        <v>35.480000000000004</v>
      </c>
      <c r="Q39" s="2">
        <f t="shared" si="18"/>
        <v>35.480000000000004</v>
      </c>
      <c r="R39" s="2">
        <f t="shared" si="18"/>
        <v>26.66</v>
      </c>
      <c r="S39" s="2">
        <f t="shared" si="18"/>
        <v>26.66</v>
      </c>
      <c r="T39" s="2">
        <f t="shared" si="8"/>
        <v>303.822</v>
      </c>
      <c r="U39" s="2">
        <f t="shared" si="18"/>
        <v>42805.830799999996</v>
      </c>
      <c r="V39" s="2">
        <f t="shared" ref="V39:W39" si="19">V38+V33+V28</f>
        <v>0</v>
      </c>
      <c r="W39" s="2">
        <f t="shared" si="19"/>
        <v>0</v>
      </c>
    </row>
    <row r="40" spans="1:23" ht="38.25" customHeight="1">
      <c r="A40" s="47">
        <v>25</v>
      </c>
      <c r="B40" s="49" t="s">
        <v>45</v>
      </c>
      <c r="C40" s="1">
        <v>11390.444</v>
      </c>
      <c r="D40" s="1">
        <v>108.76</v>
      </c>
      <c r="E40" s="1">
        <f t="shared" si="0"/>
        <v>108.76</v>
      </c>
      <c r="F40" s="1">
        <v>0</v>
      </c>
      <c r="G40" s="1">
        <f t="shared" si="1"/>
        <v>0</v>
      </c>
      <c r="H40" s="1">
        <f t="shared" si="2"/>
        <v>11499.204</v>
      </c>
      <c r="I40" s="1">
        <v>0</v>
      </c>
      <c r="J40" s="1">
        <v>0</v>
      </c>
      <c r="K40" s="1">
        <f t="shared" si="3"/>
        <v>0</v>
      </c>
      <c r="L40" s="1">
        <v>0</v>
      </c>
      <c r="M40" s="1">
        <f t="shared" si="4"/>
        <v>0</v>
      </c>
      <c r="N40" s="1">
        <f t="shared" si="5"/>
        <v>0</v>
      </c>
      <c r="O40" s="1">
        <v>0</v>
      </c>
      <c r="P40" s="1">
        <v>0</v>
      </c>
      <c r="Q40" s="1">
        <f t="shared" si="6"/>
        <v>0</v>
      </c>
      <c r="R40" s="1">
        <v>0</v>
      </c>
      <c r="S40" s="1">
        <f t="shared" si="7"/>
        <v>0</v>
      </c>
      <c r="T40" s="1">
        <f t="shared" si="8"/>
        <v>0</v>
      </c>
      <c r="U40" s="1">
        <f t="shared" si="9"/>
        <v>11499.204</v>
      </c>
    </row>
    <row r="41" spans="1:23" ht="38.25" customHeight="1">
      <c r="A41" s="47">
        <v>26</v>
      </c>
      <c r="B41" s="49" t="s">
        <v>46</v>
      </c>
      <c r="C41" s="1">
        <v>7498.0369999999948</v>
      </c>
      <c r="D41" s="1">
        <v>55.57</v>
      </c>
      <c r="E41" s="1">
        <f t="shared" si="0"/>
        <v>55.57</v>
      </c>
      <c r="F41" s="1">
        <v>0</v>
      </c>
      <c r="G41" s="1">
        <f t="shared" si="1"/>
        <v>0</v>
      </c>
      <c r="H41" s="1">
        <f t="shared" si="2"/>
        <v>7553.6069999999945</v>
      </c>
      <c r="I41" s="1">
        <v>0</v>
      </c>
      <c r="J41" s="1">
        <v>0</v>
      </c>
      <c r="K41" s="1">
        <f t="shared" si="3"/>
        <v>0</v>
      </c>
      <c r="L41" s="1">
        <v>0</v>
      </c>
      <c r="M41" s="1">
        <f t="shared" si="4"/>
        <v>0</v>
      </c>
      <c r="N41" s="1">
        <f t="shared" si="5"/>
        <v>0</v>
      </c>
      <c r="O41" s="1">
        <v>0</v>
      </c>
      <c r="P41" s="1">
        <v>0</v>
      </c>
      <c r="Q41" s="1">
        <f t="shared" si="6"/>
        <v>0</v>
      </c>
      <c r="R41" s="1">
        <v>0</v>
      </c>
      <c r="S41" s="1">
        <f t="shared" si="7"/>
        <v>0</v>
      </c>
      <c r="T41" s="1">
        <f t="shared" si="8"/>
        <v>0</v>
      </c>
      <c r="U41" s="1">
        <f t="shared" si="9"/>
        <v>7553.6069999999945</v>
      </c>
    </row>
    <row r="42" spans="1:23" s="7" customFormat="1" ht="38.25" customHeight="1">
      <c r="A42" s="47">
        <v>27</v>
      </c>
      <c r="B42" s="49" t="s">
        <v>47</v>
      </c>
      <c r="C42" s="1">
        <v>13805.438999999997</v>
      </c>
      <c r="D42" s="1">
        <v>20.21</v>
      </c>
      <c r="E42" s="1">
        <f t="shared" si="0"/>
        <v>20.21</v>
      </c>
      <c r="F42" s="1">
        <v>0</v>
      </c>
      <c r="G42" s="1">
        <f t="shared" si="1"/>
        <v>0</v>
      </c>
      <c r="H42" s="1">
        <f t="shared" si="2"/>
        <v>13825.648999999996</v>
      </c>
      <c r="I42" s="1">
        <v>0</v>
      </c>
      <c r="J42" s="1">
        <v>0</v>
      </c>
      <c r="K42" s="1">
        <f t="shared" si="3"/>
        <v>0</v>
      </c>
      <c r="L42" s="1">
        <v>0</v>
      </c>
      <c r="M42" s="1">
        <f t="shared" si="4"/>
        <v>0</v>
      </c>
      <c r="N42" s="1">
        <f t="shared" si="5"/>
        <v>0</v>
      </c>
      <c r="O42" s="1">
        <v>39.019999999999996</v>
      </c>
      <c r="P42" s="1">
        <v>0</v>
      </c>
      <c r="Q42" s="1">
        <f t="shared" si="6"/>
        <v>0</v>
      </c>
      <c r="R42" s="1">
        <v>0</v>
      </c>
      <c r="S42" s="1">
        <f t="shared" si="7"/>
        <v>0</v>
      </c>
      <c r="T42" s="1">
        <f t="shared" si="8"/>
        <v>39.019999999999996</v>
      </c>
      <c r="U42" s="1">
        <f t="shared" si="9"/>
        <v>13864.668999999996</v>
      </c>
    </row>
    <row r="43" spans="1:23" ht="38.25" customHeight="1">
      <c r="A43" s="47">
        <v>28</v>
      </c>
      <c r="B43" s="49" t="s">
        <v>48</v>
      </c>
      <c r="C43" s="1">
        <v>3967.4800000000014</v>
      </c>
      <c r="D43" s="1">
        <v>5.99</v>
      </c>
      <c r="E43" s="1">
        <f t="shared" si="0"/>
        <v>5.99</v>
      </c>
      <c r="F43" s="1">
        <v>0</v>
      </c>
      <c r="G43" s="1">
        <f t="shared" si="1"/>
        <v>0</v>
      </c>
      <c r="H43" s="1">
        <f t="shared" si="2"/>
        <v>3973.4700000000012</v>
      </c>
      <c r="I43" s="1">
        <v>0</v>
      </c>
      <c r="J43" s="1">
        <v>0</v>
      </c>
      <c r="K43" s="1">
        <f t="shared" si="3"/>
        <v>0</v>
      </c>
      <c r="L43" s="1">
        <v>0</v>
      </c>
      <c r="M43" s="1">
        <f t="shared" si="4"/>
        <v>0</v>
      </c>
      <c r="N43" s="1">
        <f t="shared" si="5"/>
        <v>0</v>
      </c>
      <c r="O43" s="1">
        <v>0</v>
      </c>
      <c r="P43" s="1">
        <v>0</v>
      </c>
      <c r="Q43" s="1">
        <f t="shared" si="6"/>
        <v>0</v>
      </c>
      <c r="R43" s="1">
        <v>0</v>
      </c>
      <c r="S43" s="1">
        <f t="shared" si="7"/>
        <v>0</v>
      </c>
      <c r="T43" s="1">
        <f t="shared" si="8"/>
        <v>0</v>
      </c>
      <c r="U43" s="1">
        <f t="shared" si="9"/>
        <v>3973.4700000000012</v>
      </c>
    </row>
    <row r="44" spans="1:23" s="7" customFormat="1" ht="38.25" customHeight="1">
      <c r="A44" s="46"/>
      <c r="B44" s="48" t="s">
        <v>49</v>
      </c>
      <c r="C44" s="2">
        <f>SUM(C40:C43)</f>
        <v>36661.399999999994</v>
      </c>
      <c r="D44" s="2">
        <f t="shared" ref="D44:U44" si="20">SUM(D40:D43)</f>
        <v>190.53000000000003</v>
      </c>
      <c r="E44" s="2">
        <f t="shared" si="20"/>
        <v>190.53000000000003</v>
      </c>
      <c r="F44" s="2">
        <f t="shared" si="20"/>
        <v>0</v>
      </c>
      <c r="G44" s="2">
        <f t="shared" si="20"/>
        <v>0</v>
      </c>
      <c r="H44" s="2">
        <f t="shared" si="2"/>
        <v>36851.929999999993</v>
      </c>
      <c r="I44" s="2">
        <f t="shared" si="20"/>
        <v>0</v>
      </c>
      <c r="J44" s="2">
        <f t="shared" si="20"/>
        <v>0</v>
      </c>
      <c r="K44" s="2">
        <f t="shared" si="20"/>
        <v>0</v>
      </c>
      <c r="L44" s="2">
        <f t="shared" si="20"/>
        <v>0</v>
      </c>
      <c r="M44" s="2">
        <f t="shared" si="20"/>
        <v>0</v>
      </c>
      <c r="N44" s="2">
        <f t="shared" si="5"/>
        <v>0</v>
      </c>
      <c r="O44" s="2">
        <f t="shared" si="20"/>
        <v>39.019999999999996</v>
      </c>
      <c r="P44" s="2">
        <f t="shared" si="20"/>
        <v>0</v>
      </c>
      <c r="Q44" s="2">
        <f t="shared" si="20"/>
        <v>0</v>
      </c>
      <c r="R44" s="2">
        <f t="shared" si="20"/>
        <v>0</v>
      </c>
      <c r="S44" s="2">
        <f t="shared" si="20"/>
        <v>0</v>
      </c>
      <c r="T44" s="2">
        <f t="shared" si="8"/>
        <v>39.019999999999996</v>
      </c>
      <c r="U44" s="2">
        <f t="shared" si="20"/>
        <v>36890.94999999999</v>
      </c>
    </row>
    <row r="45" spans="1:23" ht="38.25" customHeight="1">
      <c r="A45" s="47">
        <v>29</v>
      </c>
      <c r="B45" s="49" t="s">
        <v>50</v>
      </c>
      <c r="C45" s="1">
        <v>8423.3221000000012</v>
      </c>
      <c r="D45" s="1">
        <v>15.15</v>
      </c>
      <c r="E45" s="1">
        <f t="shared" si="0"/>
        <v>15.15</v>
      </c>
      <c r="F45" s="1">
        <v>0</v>
      </c>
      <c r="G45" s="1">
        <f t="shared" si="1"/>
        <v>0</v>
      </c>
      <c r="H45" s="1">
        <f t="shared" si="2"/>
        <v>8438.4721000000009</v>
      </c>
      <c r="I45" s="1">
        <v>16.759999999999998</v>
      </c>
      <c r="J45" s="1">
        <v>0</v>
      </c>
      <c r="K45" s="1">
        <f t="shared" si="3"/>
        <v>0</v>
      </c>
      <c r="L45" s="1">
        <v>0</v>
      </c>
      <c r="M45" s="1">
        <f t="shared" si="4"/>
        <v>0</v>
      </c>
      <c r="N45" s="1">
        <f t="shared" si="5"/>
        <v>16.759999999999998</v>
      </c>
      <c r="O45" s="1">
        <v>14.75</v>
      </c>
      <c r="P45" s="1">
        <v>0</v>
      </c>
      <c r="Q45" s="1">
        <f t="shared" si="6"/>
        <v>0</v>
      </c>
      <c r="R45" s="1">
        <v>0</v>
      </c>
      <c r="S45" s="1">
        <f t="shared" si="7"/>
        <v>0</v>
      </c>
      <c r="T45" s="1">
        <f t="shared" si="8"/>
        <v>14.75</v>
      </c>
      <c r="U45" s="1">
        <f t="shared" si="9"/>
        <v>8469.9821000000011</v>
      </c>
    </row>
    <row r="46" spans="1:23" ht="38.25" customHeight="1">
      <c r="A46" s="47">
        <v>30</v>
      </c>
      <c r="B46" s="49" t="s">
        <v>51</v>
      </c>
      <c r="C46" s="1">
        <v>7738.4950000000017</v>
      </c>
      <c r="D46" s="1">
        <v>20.21</v>
      </c>
      <c r="E46" s="1">
        <f t="shared" si="0"/>
        <v>20.21</v>
      </c>
      <c r="F46" s="1">
        <v>0</v>
      </c>
      <c r="G46" s="1">
        <f t="shared" si="1"/>
        <v>0</v>
      </c>
      <c r="H46" s="1">
        <f t="shared" si="2"/>
        <v>7758.7050000000017</v>
      </c>
      <c r="I46" s="1">
        <v>0</v>
      </c>
      <c r="J46" s="1">
        <v>0</v>
      </c>
      <c r="K46" s="1">
        <f t="shared" si="3"/>
        <v>0</v>
      </c>
      <c r="L46" s="1">
        <v>0</v>
      </c>
      <c r="M46" s="1">
        <f t="shared" si="4"/>
        <v>0</v>
      </c>
      <c r="N46" s="1">
        <f t="shared" si="5"/>
        <v>0</v>
      </c>
      <c r="O46" s="1">
        <v>0</v>
      </c>
      <c r="P46" s="1">
        <v>0</v>
      </c>
      <c r="Q46" s="1">
        <f t="shared" si="6"/>
        <v>0</v>
      </c>
      <c r="R46" s="1">
        <v>0</v>
      </c>
      <c r="S46" s="1">
        <f t="shared" si="7"/>
        <v>0</v>
      </c>
      <c r="T46" s="1">
        <f t="shared" si="8"/>
        <v>0</v>
      </c>
      <c r="U46" s="1">
        <f t="shared" si="9"/>
        <v>7758.7050000000017</v>
      </c>
    </row>
    <row r="47" spans="1:23" s="7" customFormat="1" ht="38.25" customHeight="1">
      <c r="A47" s="47">
        <v>31</v>
      </c>
      <c r="B47" s="49" t="s">
        <v>52</v>
      </c>
      <c r="C47" s="1">
        <v>8784.6400000000012</v>
      </c>
      <c r="D47" s="1">
        <v>43.93</v>
      </c>
      <c r="E47" s="1">
        <f t="shared" si="0"/>
        <v>43.93</v>
      </c>
      <c r="F47" s="1">
        <v>0</v>
      </c>
      <c r="G47" s="1">
        <f t="shared" si="1"/>
        <v>0</v>
      </c>
      <c r="H47" s="1">
        <f t="shared" si="2"/>
        <v>8828.5700000000015</v>
      </c>
      <c r="I47" s="1">
        <v>3.13</v>
      </c>
      <c r="J47" s="1">
        <v>0</v>
      </c>
      <c r="K47" s="1">
        <f t="shared" si="3"/>
        <v>0</v>
      </c>
      <c r="L47" s="1">
        <v>0</v>
      </c>
      <c r="M47" s="1">
        <f t="shared" si="4"/>
        <v>0</v>
      </c>
      <c r="N47" s="1">
        <f t="shared" si="5"/>
        <v>3.13</v>
      </c>
      <c r="O47" s="1">
        <v>0.03</v>
      </c>
      <c r="P47" s="1">
        <v>0</v>
      </c>
      <c r="Q47" s="1">
        <f t="shared" si="6"/>
        <v>0</v>
      </c>
      <c r="R47" s="1">
        <v>0</v>
      </c>
      <c r="S47" s="1">
        <f t="shared" si="7"/>
        <v>0</v>
      </c>
      <c r="T47" s="1">
        <f t="shared" si="8"/>
        <v>0.03</v>
      </c>
      <c r="U47" s="1">
        <f t="shared" si="9"/>
        <v>8831.7300000000014</v>
      </c>
    </row>
    <row r="48" spans="1:23" s="7" customFormat="1" ht="38.25" customHeight="1">
      <c r="A48" s="47">
        <v>32</v>
      </c>
      <c r="B48" s="49" t="s">
        <v>53</v>
      </c>
      <c r="C48" s="1">
        <v>8196.7889999999989</v>
      </c>
      <c r="D48" s="1">
        <v>309.54000000000002</v>
      </c>
      <c r="E48" s="1">
        <f t="shared" si="0"/>
        <v>309.54000000000002</v>
      </c>
      <c r="F48" s="1">
        <v>0</v>
      </c>
      <c r="G48" s="1">
        <f t="shared" si="1"/>
        <v>0</v>
      </c>
      <c r="H48" s="1">
        <f t="shared" si="2"/>
        <v>8506.3289999999997</v>
      </c>
      <c r="I48" s="1">
        <v>5.0249999999999995</v>
      </c>
      <c r="J48" s="1">
        <v>0</v>
      </c>
      <c r="K48" s="1">
        <f t="shared" si="3"/>
        <v>0</v>
      </c>
      <c r="L48" s="1">
        <v>0</v>
      </c>
      <c r="M48" s="1">
        <f t="shared" si="4"/>
        <v>0</v>
      </c>
      <c r="N48" s="1">
        <f t="shared" si="5"/>
        <v>5.0249999999999995</v>
      </c>
      <c r="O48" s="1">
        <v>0</v>
      </c>
      <c r="P48" s="1">
        <v>0</v>
      </c>
      <c r="Q48" s="1">
        <f t="shared" si="6"/>
        <v>0</v>
      </c>
      <c r="R48" s="1">
        <v>0</v>
      </c>
      <c r="S48" s="1">
        <f t="shared" si="7"/>
        <v>0</v>
      </c>
      <c r="T48" s="1">
        <f t="shared" si="8"/>
        <v>0</v>
      </c>
      <c r="U48" s="1">
        <f t="shared" si="9"/>
        <v>8511.3539999999994</v>
      </c>
    </row>
    <row r="49" spans="1:21" s="7" customFormat="1" ht="38.25" customHeight="1">
      <c r="A49" s="46"/>
      <c r="B49" s="48" t="s">
        <v>54</v>
      </c>
      <c r="C49" s="2">
        <f>SUM(C45:C48)</f>
        <v>33143.246100000004</v>
      </c>
      <c r="D49" s="2">
        <f t="shared" ref="D49:U49" si="21">SUM(D45:D48)</f>
        <v>388.83000000000004</v>
      </c>
      <c r="E49" s="2">
        <f t="shared" si="21"/>
        <v>388.83000000000004</v>
      </c>
      <c r="F49" s="2">
        <f t="shared" si="21"/>
        <v>0</v>
      </c>
      <c r="G49" s="2">
        <f t="shared" si="21"/>
        <v>0</v>
      </c>
      <c r="H49" s="2">
        <f t="shared" si="2"/>
        <v>33532.076100000006</v>
      </c>
      <c r="I49" s="2">
        <f t="shared" si="21"/>
        <v>24.914999999999996</v>
      </c>
      <c r="J49" s="2">
        <f t="shared" si="21"/>
        <v>0</v>
      </c>
      <c r="K49" s="2">
        <f t="shared" si="21"/>
        <v>0</v>
      </c>
      <c r="L49" s="2">
        <f t="shared" si="21"/>
        <v>0</v>
      </c>
      <c r="M49" s="2">
        <f t="shared" si="21"/>
        <v>0</v>
      </c>
      <c r="N49" s="2">
        <f t="shared" si="5"/>
        <v>24.914999999999996</v>
      </c>
      <c r="O49" s="2">
        <f t="shared" si="21"/>
        <v>14.78</v>
      </c>
      <c r="P49" s="2">
        <f t="shared" si="21"/>
        <v>0</v>
      </c>
      <c r="Q49" s="2">
        <f t="shared" si="21"/>
        <v>0</v>
      </c>
      <c r="R49" s="2">
        <f t="shared" si="21"/>
        <v>0</v>
      </c>
      <c r="S49" s="2">
        <f t="shared" si="21"/>
        <v>0</v>
      </c>
      <c r="T49" s="2">
        <f t="shared" si="8"/>
        <v>14.78</v>
      </c>
      <c r="U49" s="2">
        <f t="shared" si="21"/>
        <v>33571.771100000005</v>
      </c>
    </row>
    <row r="50" spans="1:21" s="7" customFormat="1" ht="38.25" customHeight="1">
      <c r="A50" s="46"/>
      <c r="B50" s="48" t="s">
        <v>55</v>
      </c>
      <c r="C50" s="2">
        <f>C49+C44</f>
        <v>69804.646099999998</v>
      </c>
      <c r="D50" s="2">
        <f t="shared" ref="D50:U50" si="22">D49+D44</f>
        <v>579.36000000000013</v>
      </c>
      <c r="E50" s="2">
        <f t="shared" si="22"/>
        <v>579.36000000000013</v>
      </c>
      <c r="F50" s="2">
        <f t="shared" si="22"/>
        <v>0</v>
      </c>
      <c r="G50" s="2">
        <f t="shared" si="22"/>
        <v>0</v>
      </c>
      <c r="H50" s="2">
        <f t="shared" si="2"/>
        <v>70384.006099999999</v>
      </c>
      <c r="I50" s="2">
        <f t="shared" si="22"/>
        <v>24.914999999999996</v>
      </c>
      <c r="J50" s="2">
        <f t="shared" si="22"/>
        <v>0</v>
      </c>
      <c r="K50" s="2">
        <f t="shared" si="22"/>
        <v>0</v>
      </c>
      <c r="L50" s="2">
        <f t="shared" si="22"/>
        <v>0</v>
      </c>
      <c r="M50" s="2">
        <f t="shared" si="22"/>
        <v>0</v>
      </c>
      <c r="N50" s="2">
        <f t="shared" si="5"/>
        <v>24.914999999999996</v>
      </c>
      <c r="O50" s="2">
        <f t="shared" si="22"/>
        <v>53.8</v>
      </c>
      <c r="P50" s="2">
        <f t="shared" si="22"/>
        <v>0</v>
      </c>
      <c r="Q50" s="2">
        <f t="shared" si="22"/>
        <v>0</v>
      </c>
      <c r="R50" s="2">
        <f t="shared" si="22"/>
        <v>0</v>
      </c>
      <c r="S50" s="2">
        <f t="shared" si="22"/>
        <v>0</v>
      </c>
      <c r="T50" s="2">
        <f t="shared" si="8"/>
        <v>53.8</v>
      </c>
      <c r="U50" s="2">
        <f t="shared" si="22"/>
        <v>70462.721099999995</v>
      </c>
    </row>
    <row r="51" spans="1:21" s="7" customFormat="1" ht="38.25" customHeight="1">
      <c r="A51" s="46"/>
      <c r="B51" s="48" t="s">
        <v>56</v>
      </c>
      <c r="C51" s="2">
        <f>C50+C39+C25</f>
        <v>115412.4899</v>
      </c>
      <c r="D51" s="2">
        <f t="shared" ref="D51:U51" si="23">D50+D39+D25</f>
        <v>720.0300000000002</v>
      </c>
      <c r="E51" s="2">
        <f t="shared" si="23"/>
        <v>720.0300000000002</v>
      </c>
      <c r="F51" s="2">
        <f t="shared" si="23"/>
        <v>0</v>
      </c>
      <c r="G51" s="2">
        <f t="shared" si="23"/>
        <v>0</v>
      </c>
      <c r="H51" s="53">
        <f t="shared" si="2"/>
        <v>116132.5199</v>
      </c>
      <c r="I51" s="2">
        <f t="shared" si="23"/>
        <v>8430.6939999999995</v>
      </c>
      <c r="J51" s="2">
        <f t="shared" si="23"/>
        <v>46.754999999999995</v>
      </c>
      <c r="K51" s="2">
        <f t="shared" si="23"/>
        <v>46.754999999999995</v>
      </c>
      <c r="L51" s="2">
        <f t="shared" si="23"/>
        <v>6.7299999999999995</v>
      </c>
      <c r="M51" s="2">
        <f t="shared" si="23"/>
        <v>6.7299999999999995</v>
      </c>
      <c r="N51" s="53">
        <f t="shared" si="5"/>
        <v>8470.7189999999991</v>
      </c>
      <c r="O51" s="2">
        <f t="shared" si="23"/>
        <v>941.48000000000013</v>
      </c>
      <c r="P51" s="2">
        <f t="shared" si="23"/>
        <v>35.480000000000004</v>
      </c>
      <c r="Q51" s="2">
        <f t="shared" si="23"/>
        <v>35.480000000000004</v>
      </c>
      <c r="R51" s="2">
        <f t="shared" si="23"/>
        <v>27.67</v>
      </c>
      <c r="S51" s="2">
        <f t="shared" si="23"/>
        <v>27.67</v>
      </c>
      <c r="T51" s="53">
        <f t="shared" si="8"/>
        <v>949.29000000000019</v>
      </c>
      <c r="U51" s="2">
        <f t="shared" si="23"/>
        <v>125552.52889999999</v>
      </c>
    </row>
    <row r="52" spans="1:21" s="7" customFormat="1" ht="28.5" customHeight="1">
      <c r="A52" s="18"/>
      <c r="B52" s="2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51"/>
      <c r="J53" s="51">
        <f>D51+J51+P51-F51-L51-R51</f>
        <v>767.86500000000024</v>
      </c>
      <c r="K53" s="51"/>
      <c r="L53" s="51"/>
      <c r="M53" s="51"/>
      <c r="N53" s="51"/>
      <c r="R53" s="51"/>
      <c r="U53" s="51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51"/>
      <c r="J54" s="51">
        <f>E51+K51+Q51-G51-M51-S51</f>
        <v>767.86500000000024</v>
      </c>
      <c r="K54" s="51"/>
      <c r="L54" s="51"/>
      <c r="M54" s="51"/>
      <c r="N54" s="51"/>
      <c r="R54" s="51"/>
      <c r="T54" s="51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125552.52889999999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51"/>
      <c r="E56" s="51"/>
      <c r="F56" s="51"/>
      <c r="G56" s="51"/>
      <c r="H56" s="4"/>
      <c r="I56" s="19"/>
      <c r="J56" s="51"/>
      <c r="K56" s="4"/>
      <c r="L56" s="4"/>
      <c r="M56" s="4"/>
      <c r="N56" s="11">
        <f>'[1]sep 2020 '!J56+'April 2022 '!J53</f>
        <v>117518.77589999999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2021'!J55+'April 2022 '!J53</f>
        <v>120984.3839</v>
      </c>
      <c r="N57" s="7"/>
      <c r="O57" s="3"/>
      <c r="P57" s="50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52"/>
      <c r="L58" s="10"/>
      <c r="M58" s="7"/>
      <c r="N58" s="29">
        <f>'[2]July 2021'!J55+'April 2022 '!J53</f>
        <v>121773.13489999999</v>
      </c>
      <c r="O58" s="29">
        <f>'[2]April 2021'!J55+'April 2022 '!J53</f>
        <v>120984.3839</v>
      </c>
      <c r="P58" s="50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2021'!J55+'April 2022 '!J53</f>
        <v>120463.5729</v>
      </c>
      <c r="J59" s="143" t="s">
        <v>63</v>
      </c>
      <c r="K59" s="143"/>
      <c r="L59" s="143"/>
      <c r="M59" s="11" t="e">
        <f>#REF!+'April 2022 '!J53</f>
        <v>#REF!</v>
      </c>
      <c r="N59" s="4"/>
    </row>
    <row r="60" spans="1:21" ht="37.5" customHeight="1">
      <c r="G60" s="4"/>
      <c r="H60" s="11">
        <f>H51+N51+T51</f>
        <v>125552.52889999999</v>
      </c>
      <c r="J60" s="143" t="s">
        <v>64</v>
      </c>
      <c r="K60" s="143"/>
      <c r="L60" s="143"/>
      <c r="M60" s="11" t="e">
        <f>#REF!+'April 2022 '!J53</f>
        <v>#REF!</v>
      </c>
    </row>
    <row r="61" spans="1:21">
      <c r="H61" s="23"/>
    </row>
    <row r="62" spans="1:21">
      <c r="G62" s="4"/>
      <c r="H62" s="11">
        <f>'[1]nov 2020'!J56+'April 2022 '!J53</f>
        <v>119382.7159</v>
      </c>
      <c r="I62" s="24"/>
      <c r="J62" s="23"/>
    </row>
    <row r="63" spans="1:21">
      <c r="H63" s="11">
        <f>'[1]nov 2020'!J56+'April 2022 '!J53</f>
        <v>119382.7159</v>
      </c>
      <c r="I63" s="30">
        <f>'[2]June 2021)'!J55+'April 2022 '!J53</f>
        <v>121444.36390000001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I37" zoomScale="51" zoomScaleNormal="51" workbookViewId="0">
      <selection activeCell="C45" sqref="C45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4" customWidth="1"/>
    <col min="20" max="20" width="25.42578125" style="13" customWidth="1"/>
    <col min="21" max="21" width="32.85546875" style="13" customWidth="1"/>
    <col min="22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55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54" t="s">
        <v>11</v>
      </c>
      <c r="E6" s="54" t="s">
        <v>12</v>
      </c>
      <c r="F6" s="54" t="s">
        <v>11</v>
      </c>
      <c r="G6" s="54" t="s">
        <v>12</v>
      </c>
      <c r="H6" s="135"/>
      <c r="I6" s="138"/>
      <c r="J6" s="54" t="s">
        <v>11</v>
      </c>
      <c r="K6" s="54" t="s">
        <v>12</v>
      </c>
      <c r="L6" s="54" t="s">
        <v>11</v>
      </c>
      <c r="M6" s="54" t="s">
        <v>12</v>
      </c>
      <c r="N6" s="135"/>
      <c r="O6" s="138"/>
      <c r="P6" s="54" t="s">
        <v>11</v>
      </c>
      <c r="Q6" s="54" t="s">
        <v>12</v>
      </c>
      <c r="R6" s="54" t="s">
        <v>11</v>
      </c>
      <c r="S6" s="54" t="s">
        <v>12</v>
      </c>
      <c r="T6" s="135"/>
      <c r="U6" s="135"/>
    </row>
    <row r="7" spans="1:21" ht="38.25" customHeight="1">
      <c r="A7" s="55">
        <v>1</v>
      </c>
      <c r="B7" s="57" t="s">
        <v>13</v>
      </c>
      <c r="C7" s="1">
        <f>'April 2022 '!H7</f>
        <v>90.039999999999978</v>
      </c>
      <c r="D7" s="1">
        <v>0</v>
      </c>
      <c r="E7" s="1">
        <f>'April 2022 '!E7+'May 2022'!D7</f>
        <v>0</v>
      </c>
      <c r="F7" s="1">
        <v>0</v>
      </c>
      <c r="G7" s="1">
        <f>'April 2022 '!G7+'May 2022'!F7</f>
        <v>0</v>
      </c>
      <c r="H7" s="1">
        <f>C7+D7-F7</f>
        <v>90.039999999999978</v>
      </c>
      <c r="I7" s="1">
        <f>'April 2022 '!N7</f>
        <v>585.09199999999987</v>
      </c>
      <c r="J7" s="1">
        <f>1.817+0.63</f>
        <v>2.4470000000000001</v>
      </c>
      <c r="K7" s="1">
        <f>'April 2022 '!K7+'May 2022'!J7</f>
        <v>3.3220000000000001</v>
      </c>
      <c r="L7" s="1">
        <v>0</v>
      </c>
      <c r="M7" s="1">
        <f>'April 2022 '!M7+'May 2022'!L7</f>
        <v>0</v>
      </c>
      <c r="N7" s="1">
        <f>I7+J7-L7</f>
        <v>587.53899999999987</v>
      </c>
      <c r="O7" s="1">
        <f>'April 2022 '!T7</f>
        <v>8.436000000000007</v>
      </c>
      <c r="P7" s="1">
        <v>0</v>
      </c>
      <c r="Q7" s="1">
        <f>'April 2022 '!Q7+'May 2022'!P7</f>
        <v>0</v>
      </c>
      <c r="R7" s="1">
        <v>0</v>
      </c>
      <c r="S7" s="1">
        <f>'April 2022 '!S7+'May 2022'!R7</f>
        <v>1.01</v>
      </c>
      <c r="T7" s="1">
        <f>O7+P7-R7</f>
        <v>8.436000000000007</v>
      </c>
      <c r="U7" s="1">
        <f>H7+N7+T7</f>
        <v>686.01499999999987</v>
      </c>
    </row>
    <row r="8" spans="1:21" ht="38.25" customHeight="1">
      <c r="A8" s="55">
        <v>2</v>
      </c>
      <c r="B8" s="57" t="s">
        <v>14</v>
      </c>
      <c r="C8" s="1">
        <f>'April 2022 '!H8</f>
        <v>265.39</v>
      </c>
      <c r="D8" s="1">
        <v>0</v>
      </c>
      <c r="E8" s="1">
        <f>'April 2022 '!E8+'May 2022'!D8</f>
        <v>0</v>
      </c>
      <c r="F8" s="1">
        <v>0</v>
      </c>
      <c r="G8" s="1">
        <f>'April 2022 '!G8+'May 2022'!F8</f>
        <v>0</v>
      </c>
      <c r="H8" s="1">
        <f t="shared" ref="H8:H51" si="0">C8+D8-F8</f>
        <v>265.39</v>
      </c>
      <c r="I8" s="1">
        <f>'April 2022 '!N8</f>
        <v>313.15499999999997</v>
      </c>
      <c r="J8" s="1">
        <v>1.72</v>
      </c>
      <c r="K8" s="1">
        <f>'April 2022 '!K8+'May 2022'!J8</f>
        <v>2.895</v>
      </c>
      <c r="L8" s="1">
        <v>0</v>
      </c>
      <c r="M8" s="1">
        <f>'April 2022 '!M8+'May 2022'!L8</f>
        <v>0</v>
      </c>
      <c r="N8" s="1">
        <f t="shared" ref="N8:N51" si="1">I8+J8-L8</f>
        <v>314.875</v>
      </c>
      <c r="O8" s="1">
        <f>'April 2022 '!T8</f>
        <v>66.290000000000006</v>
      </c>
      <c r="P8" s="1">
        <v>0</v>
      </c>
      <c r="Q8" s="1">
        <f>'April 2022 '!Q8+'May 2022'!P8</f>
        <v>0</v>
      </c>
      <c r="R8" s="1">
        <v>0</v>
      </c>
      <c r="S8" s="1">
        <f>'April 2022 '!S8+'May 2022'!R8</f>
        <v>0</v>
      </c>
      <c r="T8" s="1">
        <f t="shared" ref="T8:T51" si="2">O8+P8-R8</f>
        <v>66.290000000000006</v>
      </c>
      <c r="U8" s="1">
        <f t="shared" ref="U8:U51" si="3">H8+N8+T8</f>
        <v>646.55499999999995</v>
      </c>
    </row>
    <row r="9" spans="1:21" ht="38.25" customHeight="1">
      <c r="A9" s="55">
        <v>3</v>
      </c>
      <c r="B9" s="57" t="s">
        <v>15</v>
      </c>
      <c r="C9" s="1">
        <f>'April 2022 '!H9</f>
        <v>209.16</v>
      </c>
      <c r="D9" s="1">
        <v>0</v>
      </c>
      <c r="E9" s="1">
        <f>'April 2022 '!E9+'May 2022'!D9</f>
        <v>0</v>
      </c>
      <c r="F9" s="1">
        <v>0</v>
      </c>
      <c r="G9" s="1">
        <f>'April 2022 '!G9+'May 2022'!F9</f>
        <v>0</v>
      </c>
      <c r="H9" s="1">
        <f t="shared" si="0"/>
        <v>209.16</v>
      </c>
      <c r="I9" s="1">
        <f>'April 2022 '!N9</f>
        <v>703.89800000000002</v>
      </c>
      <c r="J9" s="1">
        <f>1.65+35.3</f>
        <v>36.949999999999996</v>
      </c>
      <c r="K9" s="1">
        <f>'April 2022 '!K9+'May 2022'!J9</f>
        <v>39.819999999999993</v>
      </c>
      <c r="L9" s="1">
        <v>0</v>
      </c>
      <c r="M9" s="1">
        <f>'April 2022 '!M9+'May 2022'!L9</f>
        <v>0</v>
      </c>
      <c r="N9" s="1">
        <f t="shared" si="1"/>
        <v>740.84800000000007</v>
      </c>
      <c r="O9" s="1">
        <f>'April 2022 '!T9</f>
        <v>44.739999999999995</v>
      </c>
      <c r="P9" s="1">
        <v>0</v>
      </c>
      <c r="Q9" s="1">
        <f>'April 2022 '!Q9+'May 2022'!P9</f>
        <v>0</v>
      </c>
      <c r="R9" s="1">
        <v>0</v>
      </c>
      <c r="S9" s="1">
        <f>'April 2022 '!S9+'May 2022'!R9</f>
        <v>0</v>
      </c>
      <c r="T9" s="1">
        <f t="shared" si="2"/>
        <v>44.739999999999995</v>
      </c>
      <c r="U9" s="1">
        <f t="shared" si="3"/>
        <v>994.74800000000005</v>
      </c>
    </row>
    <row r="10" spans="1:21" s="7" customFormat="1" ht="38.25" customHeight="1">
      <c r="A10" s="55">
        <v>4</v>
      </c>
      <c r="B10" s="57" t="s">
        <v>16</v>
      </c>
      <c r="C10" s="1">
        <f>'April 2022 '!H10</f>
        <v>0</v>
      </c>
      <c r="D10" s="1">
        <v>0</v>
      </c>
      <c r="E10" s="1">
        <f>'April 2022 '!E10+'May 2022'!D10</f>
        <v>0</v>
      </c>
      <c r="F10" s="1">
        <v>0</v>
      </c>
      <c r="G10" s="1">
        <f>'April 2022 '!G10+'May 2022'!F10</f>
        <v>0</v>
      </c>
      <c r="H10" s="1">
        <f t="shared" si="0"/>
        <v>0</v>
      </c>
      <c r="I10" s="1">
        <f>'April 2022 '!N10</f>
        <v>343.76999999999992</v>
      </c>
      <c r="J10" s="1">
        <v>0.73</v>
      </c>
      <c r="K10" s="1">
        <f>'April 2022 '!K10+'May 2022'!J10</f>
        <v>2.125</v>
      </c>
      <c r="L10" s="1">
        <v>0</v>
      </c>
      <c r="M10" s="1">
        <f>'April 2022 '!M10+'May 2022'!L10</f>
        <v>0</v>
      </c>
      <c r="N10" s="1">
        <f t="shared" si="1"/>
        <v>344.49999999999994</v>
      </c>
      <c r="O10" s="1">
        <f>'April 2022 '!T10</f>
        <v>0.20000000000000007</v>
      </c>
      <c r="P10" s="1">
        <v>0</v>
      </c>
      <c r="Q10" s="1">
        <f>'April 2022 '!Q10+'May 2022'!P10</f>
        <v>0</v>
      </c>
      <c r="R10" s="1">
        <v>0</v>
      </c>
      <c r="S10" s="1">
        <f>'April 2022 '!S10+'May 2022'!R10</f>
        <v>0</v>
      </c>
      <c r="T10" s="1">
        <f t="shared" si="2"/>
        <v>0.20000000000000007</v>
      </c>
      <c r="U10" s="1">
        <f t="shared" si="3"/>
        <v>344.69999999999993</v>
      </c>
    </row>
    <row r="11" spans="1:21" s="7" customFormat="1" ht="38.25" customHeight="1">
      <c r="A11" s="54"/>
      <c r="B11" s="56" t="s">
        <v>17</v>
      </c>
      <c r="C11" s="2">
        <f>SUM(C7:C10)</f>
        <v>564.58999999999992</v>
      </c>
      <c r="D11" s="2">
        <f t="shared" ref="D11:R11" si="4">SUM(D7:D10)</f>
        <v>0</v>
      </c>
      <c r="E11" s="2">
        <f>'April 2022 '!E11+'May 2022'!D11</f>
        <v>0</v>
      </c>
      <c r="F11" s="2">
        <f t="shared" si="4"/>
        <v>0</v>
      </c>
      <c r="G11" s="2">
        <f>'April 2022 '!G11+'May 2022'!F11</f>
        <v>0</v>
      </c>
      <c r="H11" s="2">
        <f t="shared" si="0"/>
        <v>564.58999999999992</v>
      </c>
      <c r="I11" s="2">
        <f t="shared" si="4"/>
        <v>1945.915</v>
      </c>
      <c r="J11" s="2">
        <f t="shared" si="4"/>
        <v>41.846999999999994</v>
      </c>
      <c r="K11" s="2">
        <f>'April 2022 '!K11+'May 2022'!J11</f>
        <v>48.161999999999992</v>
      </c>
      <c r="L11" s="2">
        <f t="shared" si="4"/>
        <v>0</v>
      </c>
      <c r="M11" s="2">
        <f>'April 2022 '!M11+'May 2022'!L11</f>
        <v>0</v>
      </c>
      <c r="N11" s="2">
        <f t="shared" si="1"/>
        <v>1987.7619999999999</v>
      </c>
      <c r="O11" s="2">
        <f t="shared" si="4"/>
        <v>119.66600000000001</v>
      </c>
      <c r="P11" s="2">
        <f t="shared" si="4"/>
        <v>0</v>
      </c>
      <c r="Q11" s="2">
        <f>'April 2022 '!Q11+'May 2022'!P11</f>
        <v>0</v>
      </c>
      <c r="R11" s="2">
        <f t="shared" si="4"/>
        <v>0</v>
      </c>
      <c r="S11" s="2">
        <f>'April 2022 '!S11+'May 2022'!R11</f>
        <v>1.01</v>
      </c>
      <c r="T11" s="2">
        <f t="shared" si="2"/>
        <v>119.66600000000001</v>
      </c>
      <c r="U11" s="2">
        <f t="shared" si="3"/>
        <v>2672.018</v>
      </c>
    </row>
    <row r="12" spans="1:21" ht="38.25" customHeight="1">
      <c r="A12" s="55">
        <v>5</v>
      </c>
      <c r="B12" s="57" t="s">
        <v>18</v>
      </c>
      <c r="C12" s="1">
        <f>'April 2022 '!H12</f>
        <v>355.3099999999996</v>
      </c>
      <c r="D12" s="1">
        <v>0</v>
      </c>
      <c r="E12" s="1">
        <f>'April 2022 '!E12+'May 2022'!D12</f>
        <v>0</v>
      </c>
      <c r="F12" s="1">
        <v>0</v>
      </c>
      <c r="G12" s="1">
        <f>'April 2022 '!G12+'May 2022'!F12</f>
        <v>0</v>
      </c>
      <c r="H12" s="1">
        <f t="shared" si="0"/>
        <v>355.3099999999996</v>
      </c>
      <c r="I12" s="1">
        <f>'April 2022 '!N12</f>
        <v>805.16499999999996</v>
      </c>
      <c r="J12" s="31">
        <f>0.9+45</f>
        <v>45.9</v>
      </c>
      <c r="K12" s="1">
        <f>'April 2022 '!K12+'May 2022'!J12</f>
        <v>46.36</v>
      </c>
      <c r="L12" s="1">
        <v>0</v>
      </c>
      <c r="M12" s="1">
        <f>'April 2022 '!M12+'May 2022'!L12</f>
        <v>0</v>
      </c>
      <c r="N12" s="1">
        <f t="shared" si="1"/>
        <v>851.06499999999994</v>
      </c>
      <c r="O12" s="1">
        <f>'April 2022 '!T12</f>
        <v>36.850000000000009</v>
      </c>
      <c r="P12" s="1">
        <v>0</v>
      </c>
      <c r="Q12" s="1">
        <f>'April 2022 '!Q12+'May 2022'!P12</f>
        <v>0</v>
      </c>
      <c r="R12" s="1">
        <v>0</v>
      </c>
      <c r="S12" s="1">
        <f>'April 2022 '!S12+'May 2022'!R12</f>
        <v>0</v>
      </c>
      <c r="T12" s="1">
        <f t="shared" si="2"/>
        <v>36.850000000000009</v>
      </c>
      <c r="U12" s="1">
        <f t="shared" si="3"/>
        <v>1243.2249999999995</v>
      </c>
    </row>
    <row r="13" spans="1:21" ht="38.25" customHeight="1">
      <c r="A13" s="55">
        <v>6</v>
      </c>
      <c r="B13" s="57" t="s">
        <v>19</v>
      </c>
      <c r="C13" s="1">
        <f>'April 2022 '!H13</f>
        <v>312.23000000000013</v>
      </c>
      <c r="D13" s="1">
        <v>0</v>
      </c>
      <c r="E13" s="1">
        <f>'April 2022 '!E13+'May 2022'!D13</f>
        <v>0</v>
      </c>
      <c r="F13" s="1">
        <v>0</v>
      </c>
      <c r="G13" s="1">
        <f>'April 2022 '!G13+'May 2022'!F13</f>
        <v>0</v>
      </c>
      <c r="H13" s="1">
        <f t="shared" si="0"/>
        <v>312.23000000000013</v>
      </c>
      <c r="I13" s="1">
        <f>'April 2022 '!N13</f>
        <v>529.51200000000028</v>
      </c>
      <c r="J13" s="31">
        <f>1.43</f>
        <v>1.43</v>
      </c>
      <c r="K13" s="1">
        <f>'April 2022 '!K13+'May 2022'!J13</f>
        <v>2.41</v>
      </c>
      <c r="L13" s="1">
        <v>0</v>
      </c>
      <c r="M13" s="1">
        <f>'April 2022 '!M13+'May 2022'!L13</f>
        <v>0</v>
      </c>
      <c r="N13" s="1">
        <f t="shared" si="1"/>
        <v>530.94200000000023</v>
      </c>
      <c r="O13" s="1">
        <f>'April 2022 '!T13</f>
        <v>68.39</v>
      </c>
      <c r="P13" s="1">
        <v>0</v>
      </c>
      <c r="Q13" s="1">
        <f>'April 2022 '!Q13+'May 2022'!P13</f>
        <v>0</v>
      </c>
      <c r="R13" s="1">
        <v>0</v>
      </c>
      <c r="S13" s="1">
        <f>'April 2022 '!S13+'May 2022'!R13</f>
        <v>0</v>
      </c>
      <c r="T13" s="1">
        <f t="shared" si="2"/>
        <v>68.39</v>
      </c>
      <c r="U13" s="1">
        <f t="shared" si="3"/>
        <v>911.56200000000035</v>
      </c>
    </row>
    <row r="14" spans="1:21" s="7" customFormat="1" ht="38.25" customHeight="1">
      <c r="A14" s="55">
        <v>7</v>
      </c>
      <c r="B14" s="57" t="s">
        <v>20</v>
      </c>
      <c r="C14" s="1">
        <f>'April 2022 '!H14</f>
        <v>1216.4399999999994</v>
      </c>
      <c r="D14" s="1">
        <v>0</v>
      </c>
      <c r="E14" s="1">
        <f>'April 2022 '!E14+'May 2022'!D14</f>
        <v>0</v>
      </c>
      <c r="F14" s="1">
        <v>0</v>
      </c>
      <c r="G14" s="1">
        <f>'April 2022 '!G14+'May 2022'!F14</f>
        <v>0</v>
      </c>
      <c r="H14" s="1">
        <f t="shared" si="0"/>
        <v>1216.4399999999994</v>
      </c>
      <c r="I14" s="1">
        <f>'April 2022 '!N14</f>
        <v>867.58800000000019</v>
      </c>
      <c r="J14" s="31">
        <f>1.95+2.81</f>
        <v>4.76</v>
      </c>
      <c r="K14" s="1">
        <f>'April 2022 '!K14+'May 2022'!J14</f>
        <v>7.56</v>
      </c>
      <c r="L14" s="1">
        <v>0</v>
      </c>
      <c r="M14" s="1">
        <f>'April 2022 '!M14+'May 2022'!L14</f>
        <v>0</v>
      </c>
      <c r="N14" s="1">
        <f t="shared" si="1"/>
        <v>872.34800000000018</v>
      </c>
      <c r="O14" s="1">
        <f>'April 2022 '!T14</f>
        <v>61.329999999999991</v>
      </c>
      <c r="P14" s="1">
        <v>0</v>
      </c>
      <c r="Q14" s="1">
        <f>'April 2022 '!Q14+'May 2022'!P14</f>
        <v>0</v>
      </c>
      <c r="R14" s="1">
        <v>0</v>
      </c>
      <c r="S14" s="1">
        <f>'April 2022 '!S14+'May 2022'!R14</f>
        <v>0</v>
      </c>
      <c r="T14" s="1">
        <f t="shared" si="2"/>
        <v>61.329999999999991</v>
      </c>
      <c r="U14" s="1">
        <f t="shared" si="3"/>
        <v>2150.1179999999995</v>
      </c>
    </row>
    <row r="15" spans="1:21" s="7" customFormat="1" ht="38.25" customHeight="1">
      <c r="A15" s="54"/>
      <c r="B15" s="56" t="s">
        <v>21</v>
      </c>
      <c r="C15" s="2">
        <f>SUM(C12:C14)</f>
        <v>1883.9799999999991</v>
      </c>
      <c r="D15" s="2">
        <f t="shared" ref="D15:R15" si="5">SUM(D12:D14)</f>
        <v>0</v>
      </c>
      <c r="E15" s="2">
        <f>'April 2022 '!E15+'May 2022'!D15</f>
        <v>0</v>
      </c>
      <c r="F15" s="2">
        <f t="shared" si="5"/>
        <v>0</v>
      </c>
      <c r="G15" s="2">
        <f>'April 2022 '!G15+'May 2022'!F15</f>
        <v>0</v>
      </c>
      <c r="H15" s="2">
        <f t="shared" si="0"/>
        <v>1883.9799999999991</v>
      </c>
      <c r="I15" s="2">
        <f t="shared" si="5"/>
        <v>2202.2650000000003</v>
      </c>
      <c r="J15" s="2">
        <f t="shared" si="5"/>
        <v>52.089999999999996</v>
      </c>
      <c r="K15" s="2">
        <f>'April 2022 '!K15+'May 2022'!J15</f>
        <v>56.33</v>
      </c>
      <c r="L15" s="2">
        <f t="shared" si="5"/>
        <v>0</v>
      </c>
      <c r="M15" s="2">
        <f>'April 2022 '!M15+'May 2022'!L15</f>
        <v>0</v>
      </c>
      <c r="N15" s="2">
        <f t="shared" si="1"/>
        <v>2254.3550000000005</v>
      </c>
      <c r="O15" s="2">
        <f t="shared" si="5"/>
        <v>166.57</v>
      </c>
      <c r="P15" s="2">
        <f t="shared" si="5"/>
        <v>0</v>
      </c>
      <c r="Q15" s="2">
        <f>'April 2022 '!Q15+'May 2022'!P15</f>
        <v>0</v>
      </c>
      <c r="R15" s="2">
        <f t="shared" si="5"/>
        <v>0</v>
      </c>
      <c r="S15" s="2">
        <f>'April 2022 '!S15+'May 2022'!R15</f>
        <v>0</v>
      </c>
      <c r="T15" s="2">
        <f t="shared" si="2"/>
        <v>166.57</v>
      </c>
      <c r="U15" s="2">
        <f t="shared" si="3"/>
        <v>4304.9049999999988</v>
      </c>
    </row>
    <row r="16" spans="1:21" s="16" customFormat="1" ht="38.25" customHeight="1">
      <c r="A16" s="55">
        <v>8</v>
      </c>
      <c r="B16" s="57" t="s">
        <v>22</v>
      </c>
      <c r="C16" s="1">
        <f>'April 2022 '!H16</f>
        <v>994.13400000000036</v>
      </c>
      <c r="D16" s="1">
        <v>0.26</v>
      </c>
      <c r="E16" s="1">
        <f>'April 2022 '!E16+'May 2022'!D16</f>
        <v>0.55000000000000004</v>
      </c>
      <c r="F16" s="1">
        <v>0</v>
      </c>
      <c r="G16" s="1">
        <f>'April 2022 '!G16+'May 2022'!F16</f>
        <v>0</v>
      </c>
      <c r="H16" s="1">
        <f t="shared" si="0"/>
        <v>994.39400000000035</v>
      </c>
      <c r="I16" s="1">
        <f>'April 2022 '!N16</f>
        <v>299.17599999999999</v>
      </c>
      <c r="J16" s="1">
        <f>5.49+22.26</f>
        <v>27.75</v>
      </c>
      <c r="K16" s="1">
        <f>'April 2022 '!K16+'May 2022'!J16</f>
        <v>27.88</v>
      </c>
      <c r="L16" s="1">
        <v>0</v>
      </c>
      <c r="M16" s="1">
        <f>'April 2022 '!M16+'May 2022'!L16</f>
        <v>0</v>
      </c>
      <c r="N16" s="1">
        <f t="shared" si="1"/>
        <v>326.92599999999999</v>
      </c>
      <c r="O16" s="1">
        <f>'April 2022 '!T16</f>
        <v>177.41200000000003</v>
      </c>
      <c r="P16" s="1">
        <v>0</v>
      </c>
      <c r="Q16" s="1">
        <f>'April 2022 '!Q16+'May 2022'!P16</f>
        <v>0</v>
      </c>
      <c r="R16" s="1">
        <v>0</v>
      </c>
      <c r="S16" s="1">
        <f>'April 2022 '!S16+'May 2022'!R16</f>
        <v>0</v>
      </c>
      <c r="T16" s="1">
        <f t="shared" si="2"/>
        <v>177.41200000000003</v>
      </c>
      <c r="U16" s="1">
        <f t="shared" si="3"/>
        <v>1498.7320000000004</v>
      </c>
    </row>
    <row r="17" spans="1:21" ht="61.5" customHeight="1">
      <c r="A17" s="17">
        <v>9</v>
      </c>
      <c r="B17" s="26" t="s">
        <v>23</v>
      </c>
      <c r="C17" s="1">
        <f>'April 2022 '!H17</f>
        <v>6.415999999999948</v>
      </c>
      <c r="D17" s="1">
        <v>0</v>
      </c>
      <c r="E17" s="1">
        <f>'April 2022 '!E17+'May 2022'!D17</f>
        <v>0</v>
      </c>
      <c r="F17" s="1">
        <v>0</v>
      </c>
      <c r="G17" s="1">
        <f>'April 2022 '!G17+'May 2022'!F17</f>
        <v>0</v>
      </c>
      <c r="H17" s="1">
        <f t="shared" si="0"/>
        <v>6.415999999999948</v>
      </c>
      <c r="I17" s="1">
        <f>'April 2022 '!N17</f>
        <v>513.11000000000013</v>
      </c>
      <c r="J17" s="1">
        <f>1.56+8.07</f>
        <v>9.6300000000000008</v>
      </c>
      <c r="K17" s="1">
        <f>'April 2022 '!K17+'May 2022'!J17</f>
        <v>10.99</v>
      </c>
      <c r="L17" s="1">
        <v>0</v>
      </c>
      <c r="M17" s="1">
        <f>'April 2022 '!M17+'May 2022'!L17</f>
        <v>0</v>
      </c>
      <c r="N17" s="1">
        <f t="shared" si="1"/>
        <v>522.74000000000012</v>
      </c>
      <c r="O17" s="1">
        <f>'April 2022 '!T17</f>
        <v>6.33</v>
      </c>
      <c r="P17" s="1">
        <v>0</v>
      </c>
      <c r="Q17" s="1">
        <f>'April 2022 '!Q17+'May 2022'!P17</f>
        <v>0</v>
      </c>
      <c r="R17" s="1">
        <v>0</v>
      </c>
      <c r="S17" s="1">
        <f>'April 2022 '!S17+'May 2022'!R17</f>
        <v>0</v>
      </c>
      <c r="T17" s="1">
        <f t="shared" si="2"/>
        <v>6.33</v>
      </c>
      <c r="U17" s="1">
        <f t="shared" si="3"/>
        <v>535.4860000000001</v>
      </c>
    </row>
    <row r="18" spans="1:21" s="7" customFormat="1" ht="38.25" customHeight="1">
      <c r="A18" s="55">
        <v>10</v>
      </c>
      <c r="B18" s="57" t="s">
        <v>24</v>
      </c>
      <c r="C18" s="1">
        <f>'April 2022 '!H18</f>
        <v>76.226000000000099</v>
      </c>
      <c r="D18" s="1">
        <v>0</v>
      </c>
      <c r="E18" s="1">
        <f>'April 2022 '!E18+'May 2022'!D18</f>
        <v>0.24</v>
      </c>
      <c r="F18" s="1">
        <v>0</v>
      </c>
      <c r="G18" s="1">
        <f>'April 2022 '!G18+'May 2022'!F18</f>
        <v>0</v>
      </c>
      <c r="H18" s="1">
        <f t="shared" si="0"/>
        <v>76.226000000000099</v>
      </c>
      <c r="I18" s="1">
        <f>'April 2022 '!N18</f>
        <v>485.93699999999995</v>
      </c>
      <c r="J18" s="1">
        <v>0.67</v>
      </c>
      <c r="K18" s="1">
        <f>'April 2022 '!K18+'May 2022'!J18</f>
        <v>1.07</v>
      </c>
      <c r="L18" s="1">
        <v>0</v>
      </c>
      <c r="M18" s="1">
        <f>'April 2022 '!M18+'May 2022'!L18</f>
        <v>0</v>
      </c>
      <c r="N18" s="1">
        <f t="shared" si="1"/>
        <v>486.60699999999997</v>
      </c>
      <c r="O18" s="1">
        <f>'April 2022 '!T18</f>
        <v>38.869999999999997</v>
      </c>
      <c r="P18" s="1">
        <v>0</v>
      </c>
      <c r="Q18" s="1">
        <f>'April 2022 '!Q18+'May 2022'!P18</f>
        <v>0</v>
      </c>
      <c r="R18" s="1">
        <v>0</v>
      </c>
      <c r="S18" s="1">
        <f>'April 2022 '!S18+'May 2022'!R18</f>
        <v>0</v>
      </c>
      <c r="T18" s="1">
        <f t="shared" si="2"/>
        <v>38.869999999999997</v>
      </c>
      <c r="U18" s="1">
        <f t="shared" si="3"/>
        <v>601.70300000000009</v>
      </c>
    </row>
    <row r="19" spans="1:21" s="7" customFormat="1" ht="38.25" customHeight="1">
      <c r="A19" s="54"/>
      <c r="B19" s="56" t="s">
        <v>25</v>
      </c>
      <c r="C19" s="2">
        <f>SUM(C16:C18)</f>
        <v>1076.7760000000003</v>
      </c>
      <c r="D19" s="2">
        <f t="shared" ref="D19:R19" si="6">SUM(D16:D18)</f>
        <v>0.26</v>
      </c>
      <c r="E19" s="2">
        <f>'April 2022 '!E19+'May 2022'!D19</f>
        <v>0.79</v>
      </c>
      <c r="F19" s="2">
        <f t="shared" si="6"/>
        <v>0</v>
      </c>
      <c r="G19" s="2">
        <f>'April 2022 '!G19+'May 2022'!F19</f>
        <v>0</v>
      </c>
      <c r="H19" s="2">
        <f t="shared" si="0"/>
        <v>1077.0360000000003</v>
      </c>
      <c r="I19" s="2">
        <f t="shared" si="6"/>
        <v>1298.223</v>
      </c>
      <c r="J19" s="2">
        <f t="shared" si="6"/>
        <v>38.050000000000004</v>
      </c>
      <c r="K19" s="2">
        <f>'April 2022 '!K19+'May 2022'!J19</f>
        <v>39.940000000000005</v>
      </c>
      <c r="L19" s="2">
        <f t="shared" si="6"/>
        <v>0</v>
      </c>
      <c r="M19" s="2">
        <f>'April 2022 '!M19+'May 2022'!L19</f>
        <v>0</v>
      </c>
      <c r="N19" s="2">
        <f t="shared" si="1"/>
        <v>1336.2729999999999</v>
      </c>
      <c r="O19" s="2">
        <f t="shared" si="6"/>
        <v>222.61200000000005</v>
      </c>
      <c r="P19" s="2">
        <f t="shared" si="6"/>
        <v>0</v>
      </c>
      <c r="Q19" s="2">
        <f>'April 2022 '!Q19+'May 2022'!P19</f>
        <v>0</v>
      </c>
      <c r="R19" s="2">
        <f t="shared" si="6"/>
        <v>0</v>
      </c>
      <c r="S19" s="2">
        <f>'April 2022 '!S19+'May 2022'!R19</f>
        <v>0</v>
      </c>
      <c r="T19" s="2">
        <f t="shared" si="2"/>
        <v>222.61200000000005</v>
      </c>
      <c r="U19" s="2">
        <f t="shared" si="3"/>
        <v>2635.9210000000003</v>
      </c>
    </row>
    <row r="20" spans="1:21" ht="38.25" customHeight="1">
      <c r="A20" s="55">
        <v>11</v>
      </c>
      <c r="B20" s="57" t="s">
        <v>26</v>
      </c>
      <c r="C20" s="1">
        <f>'April 2022 '!H20</f>
        <v>631.37999999999988</v>
      </c>
      <c r="D20" s="1">
        <v>0.31</v>
      </c>
      <c r="E20" s="1">
        <f>'April 2022 '!E20+'May 2022'!D20</f>
        <v>1.1200000000000001</v>
      </c>
      <c r="F20" s="1">
        <v>0</v>
      </c>
      <c r="G20" s="1">
        <f>'April 2022 '!G20+'May 2022'!F20</f>
        <v>0</v>
      </c>
      <c r="H20" s="1">
        <f t="shared" si="0"/>
        <v>631.68999999999983</v>
      </c>
      <c r="I20" s="1">
        <f>'April 2022 '!N20</f>
        <v>400.25800000000015</v>
      </c>
      <c r="J20" s="1">
        <v>1.81</v>
      </c>
      <c r="K20" s="1">
        <f>'April 2022 '!K20+'May 2022'!J20</f>
        <v>3.92</v>
      </c>
      <c r="L20" s="1">
        <v>0</v>
      </c>
      <c r="M20" s="1">
        <f>'April 2022 '!M20+'May 2022'!L20</f>
        <v>1.04</v>
      </c>
      <c r="N20" s="1">
        <f t="shared" si="1"/>
        <v>402.06800000000015</v>
      </c>
      <c r="O20" s="1">
        <f>'April 2022 '!T20</f>
        <v>40.350000000000009</v>
      </c>
      <c r="P20" s="1">
        <v>0</v>
      </c>
      <c r="Q20" s="1">
        <f>'April 2022 '!Q20+'May 2022'!P20</f>
        <v>0</v>
      </c>
      <c r="R20" s="1">
        <v>0</v>
      </c>
      <c r="S20" s="1">
        <f>'April 2022 '!S20+'May 2022'!R20</f>
        <v>0</v>
      </c>
      <c r="T20" s="1">
        <f t="shared" si="2"/>
        <v>40.350000000000009</v>
      </c>
      <c r="U20" s="1">
        <f t="shared" si="3"/>
        <v>1074.1079999999999</v>
      </c>
    </row>
    <row r="21" spans="1:21" ht="38.25" customHeight="1">
      <c r="A21" s="55">
        <v>12</v>
      </c>
      <c r="B21" s="57" t="s">
        <v>27</v>
      </c>
      <c r="C21" s="1">
        <f>'April 2022 '!H21</f>
        <v>22.51</v>
      </c>
      <c r="D21" s="1">
        <v>0</v>
      </c>
      <c r="E21" s="1">
        <f>'April 2022 '!E21+'May 2022'!D21</f>
        <v>0</v>
      </c>
      <c r="F21" s="1">
        <v>0</v>
      </c>
      <c r="G21" s="1">
        <f>'April 2022 '!G21+'May 2022'!F21</f>
        <v>0</v>
      </c>
      <c r="H21" s="1">
        <f t="shared" si="0"/>
        <v>22.51</v>
      </c>
      <c r="I21" s="1">
        <f>'April 2022 '!N21</f>
        <v>414.83699999999999</v>
      </c>
      <c r="J21" s="1">
        <v>0.91</v>
      </c>
      <c r="K21" s="1">
        <f>'April 2022 '!K21+'May 2022'!J21</f>
        <v>17.63</v>
      </c>
      <c r="L21" s="1">
        <v>0</v>
      </c>
      <c r="M21" s="1">
        <f>'April 2022 '!M21+'May 2022'!L21</f>
        <v>0</v>
      </c>
      <c r="N21" s="1">
        <f t="shared" si="1"/>
        <v>415.74700000000001</v>
      </c>
      <c r="O21" s="1">
        <f>'April 2022 '!T21</f>
        <v>19.369999999999997</v>
      </c>
      <c r="P21" s="1">
        <v>0</v>
      </c>
      <c r="Q21" s="1">
        <f>'April 2022 '!Q21+'May 2022'!P21</f>
        <v>0</v>
      </c>
      <c r="R21" s="1">
        <v>0</v>
      </c>
      <c r="S21" s="1">
        <f>'April 2022 '!S21+'May 2022'!R21</f>
        <v>0</v>
      </c>
      <c r="T21" s="1">
        <f t="shared" si="2"/>
        <v>19.369999999999997</v>
      </c>
      <c r="U21" s="1">
        <f t="shared" si="3"/>
        <v>457.62700000000001</v>
      </c>
    </row>
    <row r="22" spans="1:21" s="7" customFormat="1" ht="38.25" customHeight="1">
      <c r="A22" s="55">
        <v>13</v>
      </c>
      <c r="B22" s="57" t="s">
        <v>28</v>
      </c>
      <c r="C22" s="1">
        <f>'April 2022 '!H22</f>
        <v>22.430000000000021</v>
      </c>
      <c r="D22" s="1">
        <v>0</v>
      </c>
      <c r="E22" s="1">
        <f>'April 2022 '!E22+'May 2022'!D22</f>
        <v>0</v>
      </c>
      <c r="F22" s="1">
        <v>0</v>
      </c>
      <c r="G22" s="1">
        <f>'April 2022 '!G22+'May 2022'!F22</f>
        <v>0</v>
      </c>
      <c r="H22" s="1">
        <f t="shared" si="0"/>
        <v>22.430000000000021</v>
      </c>
      <c r="I22" s="1">
        <f>'April 2022 '!N22</f>
        <v>690.27</v>
      </c>
      <c r="J22" s="1">
        <v>0.41</v>
      </c>
      <c r="K22" s="1">
        <f>'April 2022 '!K22+'May 2022'!J22</f>
        <v>1.71</v>
      </c>
      <c r="L22" s="1">
        <v>0.08</v>
      </c>
      <c r="M22" s="1">
        <f>'April 2022 '!M22+'May 2022'!L22</f>
        <v>0.08</v>
      </c>
      <c r="N22" s="1">
        <f t="shared" si="1"/>
        <v>690.59999999999991</v>
      </c>
      <c r="O22" s="1">
        <f>'April 2022 '!T22</f>
        <v>0.60000000000000098</v>
      </c>
      <c r="P22" s="1">
        <v>0</v>
      </c>
      <c r="Q22" s="1">
        <f>'April 2022 '!Q22+'May 2022'!P22</f>
        <v>0</v>
      </c>
      <c r="R22" s="1">
        <v>0</v>
      </c>
      <c r="S22" s="1">
        <f>'April 2022 '!S22+'May 2022'!R22</f>
        <v>0</v>
      </c>
      <c r="T22" s="1">
        <f t="shared" si="2"/>
        <v>0.60000000000000098</v>
      </c>
      <c r="U22" s="1">
        <f t="shared" si="3"/>
        <v>713.63</v>
      </c>
    </row>
    <row r="23" spans="1:21" s="7" customFormat="1" ht="38.25" customHeight="1">
      <c r="A23" s="55">
        <v>14</v>
      </c>
      <c r="B23" s="57" t="s">
        <v>29</v>
      </c>
      <c r="C23" s="1">
        <f>'April 2022 '!H23</f>
        <v>430.64</v>
      </c>
      <c r="D23" s="1">
        <v>0</v>
      </c>
      <c r="E23" s="1">
        <f>'April 2022 '!E23+'May 2022'!D23</f>
        <v>3.4</v>
      </c>
      <c r="F23" s="1">
        <v>0</v>
      </c>
      <c r="G23" s="1">
        <f>'April 2022 '!G23+'May 2022'!F23</f>
        <v>0</v>
      </c>
      <c r="H23" s="1">
        <f t="shared" si="0"/>
        <v>430.64</v>
      </c>
      <c r="I23" s="1">
        <f>'April 2022 '!N23</f>
        <v>108.235</v>
      </c>
      <c r="J23" s="1">
        <v>9.16</v>
      </c>
      <c r="K23" s="1">
        <f>'April 2022 '!K23+'May 2022'!J23</f>
        <v>15.51</v>
      </c>
      <c r="L23" s="1">
        <v>0</v>
      </c>
      <c r="M23" s="1">
        <f>'April 2022 '!M23+'May 2022'!L23</f>
        <v>0</v>
      </c>
      <c r="N23" s="1">
        <f t="shared" si="1"/>
        <v>117.395</v>
      </c>
      <c r="O23" s="1">
        <f>'April 2022 '!T23</f>
        <v>22.5</v>
      </c>
      <c r="P23" s="1">
        <v>0</v>
      </c>
      <c r="Q23" s="1">
        <f>'April 2022 '!Q23+'May 2022'!P23</f>
        <v>0</v>
      </c>
      <c r="R23" s="1">
        <v>0</v>
      </c>
      <c r="S23" s="1">
        <f>'April 2022 '!S23+'May 2022'!R23</f>
        <v>0</v>
      </c>
      <c r="T23" s="1">
        <f t="shared" si="2"/>
        <v>22.5</v>
      </c>
      <c r="U23" s="1">
        <f t="shared" si="3"/>
        <v>570.53499999999997</v>
      </c>
    </row>
    <row r="24" spans="1:21" s="7" customFormat="1" ht="38.25" customHeight="1">
      <c r="A24" s="54"/>
      <c r="B24" s="56" t="s">
        <v>30</v>
      </c>
      <c r="C24" s="2">
        <f>SUM(C20:C23)</f>
        <v>1106.96</v>
      </c>
      <c r="D24" s="2">
        <f t="shared" ref="D24:R24" si="7">SUM(D20:D23)</f>
        <v>0.31</v>
      </c>
      <c r="E24" s="2">
        <f>'April 2022 '!E24+'May 2022'!D24</f>
        <v>4.5199999999999996</v>
      </c>
      <c r="F24" s="2">
        <f t="shared" si="7"/>
        <v>0</v>
      </c>
      <c r="G24" s="2">
        <f>'April 2022 '!G24+'May 2022'!F24</f>
        <v>0</v>
      </c>
      <c r="H24" s="2">
        <f t="shared" si="0"/>
        <v>1107.27</v>
      </c>
      <c r="I24" s="2">
        <f t="shared" si="7"/>
        <v>1613.6000000000001</v>
      </c>
      <c r="J24" s="2">
        <f t="shared" si="7"/>
        <v>12.290000000000001</v>
      </c>
      <c r="K24" s="2">
        <f>'April 2022 '!K24+'May 2022'!J24</f>
        <v>38.769999999999996</v>
      </c>
      <c r="L24" s="2">
        <f t="shared" si="7"/>
        <v>0.08</v>
      </c>
      <c r="M24" s="2">
        <f>'April 2022 '!M24+'May 2022'!L24</f>
        <v>1.1200000000000001</v>
      </c>
      <c r="N24" s="2">
        <f t="shared" si="1"/>
        <v>1625.8100000000002</v>
      </c>
      <c r="O24" s="2">
        <f t="shared" si="7"/>
        <v>82.820000000000007</v>
      </c>
      <c r="P24" s="2">
        <f t="shared" si="7"/>
        <v>0</v>
      </c>
      <c r="Q24" s="2">
        <f>'April 2022 '!Q24+'May 2022'!P24</f>
        <v>0</v>
      </c>
      <c r="R24" s="2">
        <f t="shared" si="7"/>
        <v>0</v>
      </c>
      <c r="S24" s="2">
        <f>'April 2022 '!S24+'May 2022'!R24</f>
        <v>0</v>
      </c>
      <c r="T24" s="2">
        <f t="shared" si="2"/>
        <v>82.820000000000007</v>
      </c>
      <c r="U24" s="2">
        <f t="shared" si="3"/>
        <v>2815.9</v>
      </c>
    </row>
    <row r="25" spans="1:21" s="7" customFormat="1" ht="38.25" customHeight="1">
      <c r="A25" s="54"/>
      <c r="B25" s="56" t="s">
        <v>31</v>
      </c>
      <c r="C25" s="2">
        <f>C24+C19+C15+C11</f>
        <v>4632.3059999999996</v>
      </c>
      <c r="D25" s="2">
        <f t="shared" ref="D25:R25" si="8">D24+D19+D15+D11</f>
        <v>0.57000000000000006</v>
      </c>
      <c r="E25" s="2">
        <f>'April 2022 '!E25+'May 2022'!D25</f>
        <v>5.3100000000000005</v>
      </c>
      <c r="F25" s="2">
        <f t="shared" si="8"/>
        <v>0</v>
      </c>
      <c r="G25" s="2">
        <f>'April 2022 '!G25+'May 2022'!F25</f>
        <v>0</v>
      </c>
      <c r="H25" s="2">
        <f t="shared" si="0"/>
        <v>4632.8759999999993</v>
      </c>
      <c r="I25" s="2">
        <f t="shared" si="8"/>
        <v>7060.0030000000006</v>
      </c>
      <c r="J25" s="2">
        <f t="shared" si="8"/>
        <v>144.27699999999999</v>
      </c>
      <c r="K25" s="2">
        <f>'April 2022 '!K25+'May 2022'!J25</f>
        <v>183.202</v>
      </c>
      <c r="L25" s="2">
        <f t="shared" si="8"/>
        <v>0.08</v>
      </c>
      <c r="M25" s="2">
        <f>'April 2022 '!M25+'May 2022'!L25</f>
        <v>1.1200000000000001</v>
      </c>
      <c r="N25" s="2">
        <f t="shared" si="1"/>
        <v>7204.2000000000007</v>
      </c>
      <c r="O25" s="2">
        <f t="shared" si="8"/>
        <v>591.66800000000012</v>
      </c>
      <c r="P25" s="2">
        <f t="shared" si="8"/>
        <v>0</v>
      </c>
      <c r="Q25" s="2">
        <f>'April 2022 '!Q25+'May 2022'!P25</f>
        <v>0</v>
      </c>
      <c r="R25" s="2">
        <f t="shared" si="8"/>
        <v>0</v>
      </c>
      <c r="S25" s="2">
        <f>'April 2022 '!S25+'May 2022'!R25</f>
        <v>1.01</v>
      </c>
      <c r="T25" s="2">
        <f t="shared" si="2"/>
        <v>591.66800000000012</v>
      </c>
      <c r="U25" s="2">
        <f t="shared" si="3"/>
        <v>12428.744000000001</v>
      </c>
    </row>
    <row r="26" spans="1:21" ht="38.25" customHeight="1">
      <c r="A26" s="55">
        <v>15</v>
      </c>
      <c r="B26" s="57" t="s">
        <v>32</v>
      </c>
      <c r="C26" s="1">
        <f>'April 2022 '!H26</f>
        <v>1555.0099999999998</v>
      </c>
      <c r="D26" s="1">
        <v>5.8</v>
      </c>
      <c r="E26" s="1">
        <f>'April 2022 '!E26+'May 2022'!D26</f>
        <v>7.83</v>
      </c>
      <c r="F26" s="1">
        <v>0</v>
      </c>
      <c r="G26" s="1">
        <f>'April 2022 '!G26+'May 2022'!F26</f>
        <v>0</v>
      </c>
      <c r="H26" s="1">
        <f t="shared" si="0"/>
        <v>1560.8099999999997</v>
      </c>
      <c r="I26" s="1">
        <f>'April 2022 '!N26</f>
        <v>67.33</v>
      </c>
      <c r="J26" s="1">
        <v>0.15</v>
      </c>
      <c r="K26" s="1">
        <f>'April 2022 '!K26+'May 2022'!J26</f>
        <v>0.15</v>
      </c>
      <c r="L26" s="1">
        <v>0</v>
      </c>
      <c r="M26" s="1">
        <f>'April 2022 '!M26+'May 2022'!L26</f>
        <v>0</v>
      </c>
      <c r="N26" s="1">
        <f t="shared" si="1"/>
        <v>67.48</v>
      </c>
      <c r="O26" s="1">
        <f>'April 2022 '!T26</f>
        <v>16.11</v>
      </c>
      <c r="P26" s="1">
        <v>0</v>
      </c>
      <c r="Q26" s="1">
        <f>'April 2022 '!Q26+'May 2022'!P26</f>
        <v>0</v>
      </c>
      <c r="R26" s="1">
        <v>0</v>
      </c>
      <c r="S26" s="1">
        <f>'April 2022 '!S26+'May 2022'!R26</f>
        <v>0</v>
      </c>
      <c r="T26" s="1">
        <f t="shared" si="2"/>
        <v>16.11</v>
      </c>
      <c r="U26" s="1">
        <f t="shared" si="3"/>
        <v>1644.3999999999996</v>
      </c>
    </row>
    <row r="27" spans="1:21" s="7" customFormat="1" ht="38.25" customHeight="1">
      <c r="A27" s="55">
        <v>16</v>
      </c>
      <c r="B27" s="57" t="s">
        <v>33</v>
      </c>
      <c r="C27" s="1">
        <f>'April 2022 '!H27</f>
        <v>5587.5550000000021</v>
      </c>
      <c r="D27" s="1">
        <v>10.72</v>
      </c>
      <c r="E27" s="1">
        <f>'April 2022 '!E27+'May 2022'!D27</f>
        <v>21.57</v>
      </c>
      <c r="F27" s="1">
        <v>0</v>
      </c>
      <c r="G27" s="1">
        <f>'April 2022 '!G27+'May 2022'!F27</f>
        <v>0</v>
      </c>
      <c r="H27" s="1">
        <f t="shared" si="0"/>
        <v>5598.2750000000024</v>
      </c>
      <c r="I27" s="1">
        <f>'April 2022 '!N27</f>
        <v>596.32799999999997</v>
      </c>
      <c r="J27" s="1">
        <v>0.72</v>
      </c>
      <c r="K27" s="1">
        <f>'April 2022 '!K27+'May 2022'!J27</f>
        <v>2.8600000000000003</v>
      </c>
      <c r="L27" s="1">
        <v>0</v>
      </c>
      <c r="M27" s="1">
        <f>'April 2022 '!M27+'May 2022'!L27</f>
        <v>0</v>
      </c>
      <c r="N27" s="1">
        <f t="shared" si="1"/>
        <v>597.048</v>
      </c>
      <c r="O27" s="1">
        <f>'April 2022 '!T27</f>
        <v>33.49</v>
      </c>
      <c r="P27" s="1">
        <v>0</v>
      </c>
      <c r="Q27" s="1">
        <f>'April 2022 '!Q27+'May 2022'!P27</f>
        <v>0</v>
      </c>
      <c r="R27" s="1">
        <v>0</v>
      </c>
      <c r="S27" s="1">
        <f>'April 2022 '!S27+'May 2022'!R27</f>
        <v>0</v>
      </c>
      <c r="T27" s="1">
        <f t="shared" si="2"/>
        <v>33.49</v>
      </c>
      <c r="U27" s="1">
        <f t="shared" si="3"/>
        <v>6228.8130000000019</v>
      </c>
    </row>
    <row r="28" spans="1:21" s="7" customFormat="1" ht="38.25" customHeight="1">
      <c r="A28" s="54"/>
      <c r="B28" s="56" t="s">
        <v>34</v>
      </c>
      <c r="C28" s="2">
        <f>SUM(C26:C27)</f>
        <v>7142.5650000000023</v>
      </c>
      <c r="D28" s="2">
        <f t="shared" ref="D28:R28" si="9">SUM(D26:D27)</f>
        <v>16.52</v>
      </c>
      <c r="E28" s="2">
        <f>'April 2022 '!E28+'May 2022'!D28</f>
        <v>29.4</v>
      </c>
      <c r="F28" s="2">
        <f t="shared" si="9"/>
        <v>0</v>
      </c>
      <c r="G28" s="2">
        <f>'April 2022 '!G28+'May 2022'!F28</f>
        <v>0</v>
      </c>
      <c r="H28" s="2">
        <f t="shared" si="0"/>
        <v>7159.0850000000028</v>
      </c>
      <c r="I28" s="2">
        <f t="shared" si="9"/>
        <v>663.65800000000002</v>
      </c>
      <c r="J28" s="2">
        <f t="shared" si="9"/>
        <v>0.87</v>
      </c>
      <c r="K28" s="2">
        <f>'April 2022 '!K28+'May 2022'!J28</f>
        <v>3.0100000000000002</v>
      </c>
      <c r="L28" s="2">
        <f t="shared" si="9"/>
        <v>0</v>
      </c>
      <c r="M28" s="2">
        <f>'April 2022 '!M28+'May 2022'!L28</f>
        <v>0</v>
      </c>
      <c r="N28" s="2">
        <f t="shared" si="1"/>
        <v>664.52800000000002</v>
      </c>
      <c r="O28" s="2">
        <f t="shared" si="9"/>
        <v>49.6</v>
      </c>
      <c r="P28" s="2">
        <f t="shared" si="9"/>
        <v>0</v>
      </c>
      <c r="Q28" s="2">
        <f>'April 2022 '!Q28+'May 2022'!P28</f>
        <v>0</v>
      </c>
      <c r="R28" s="2">
        <f t="shared" si="9"/>
        <v>0</v>
      </c>
      <c r="S28" s="2">
        <f>'April 2022 '!S28+'May 2022'!R28</f>
        <v>0</v>
      </c>
      <c r="T28" s="2">
        <f t="shared" si="2"/>
        <v>49.6</v>
      </c>
      <c r="U28" s="2">
        <f t="shared" si="3"/>
        <v>7873.2130000000034</v>
      </c>
    </row>
    <row r="29" spans="1:21" ht="38.25" customHeight="1">
      <c r="A29" s="55">
        <v>17</v>
      </c>
      <c r="B29" s="57" t="s">
        <v>35</v>
      </c>
      <c r="C29" s="1">
        <f>'April 2022 '!H29</f>
        <v>4457.4180000000015</v>
      </c>
      <c r="D29" s="1">
        <v>2.9</v>
      </c>
      <c r="E29" s="1">
        <f>'April 2022 '!E29+'May 2022'!D29</f>
        <v>5.85</v>
      </c>
      <c r="F29" s="1">
        <v>0</v>
      </c>
      <c r="G29" s="1">
        <f>'April 2022 '!G29+'May 2022'!F29</f>
        <v>0</v>
      </c>
      <c r="H29" s="1">
        <f t="shared" si="0"/>
        <v>4460.3180000000011</v>
      </c>
      <c r="I29" s="1">
        <f>'April 2022 '!N29</f>
        <v>151.81</v>
      </c>
      <c r="J29" s="1">
        <v>0</v>
      </c>
      <c r="K29" s="1">
        <f>'April 2022 '!K29+'May 2022'!J29</f>
        <v>0</v>
      </c>
      <c r="L29" s="1">
        <v>0</v>
      </c>
      <c r="M29" s="1">
        <f>'April 2022 '!M29+'May 2022'!L29</f>
        <v>0</v>
      </c>
      <c r="N29" s="1">
        <f t="shared" si="1"/>
        <v>151.81</v>
      </c>
      <c r="O29" s="1">
        <f>'April 2022 '!T29</f>
        <v>34.52000000000001</v>
      </c>
      <c r="P29" s="1">
        <v>0</v>
      </c>
      <c r="Q29" s="1">
        <f>'April 2022 '!Q29+'May 2022'!P29</f>
        <v>0</v>
      </c>
      <c r="R29" s="1">
        <v>0</v>
      </c>
      <c r="S29" s="1">
        <f>'April 2022 '!S29+'May 2022'!R29</f>
        <v>23.2</v>
      </c>
      <c r="T29" s="1">
        <f t="shared" si="2"/>
        <v>34.52000000000001</v>
      </c>
      <c r="U29" s="1">
        <f t="shared" si="3"/>
        <v>4646.648000000002</v>
      </c>
    </row>
    <row r="30" spans="1:21" ht="54.75" customHeight="1">
      <c r="A30" s="55">
        <v>18</v>
      </c>
      <c r="B30" s="57" t="s">
        <v>36</v>
      </c>
      <c r="C30" s="1">
        <f>'April 2022 '!H30</f>
        <v>3594.79</v>
      </c>
      <c r="D30" s="1">
        <v>1.32</v>
      </c>
      <c r="E30" s="1">
        <f>'April 2022 '!E30+'May 2022'!D30</f>
        <v>20.740000000000002</v>
      </c>
      <c r="F30" s="1">
        <v>0</v>
      </c>
      <c r="G30" s="1">
        <f>'April 2022 '!G30+'May 2022'!F30</f>
        <v>0</v>
      </c>
      <c r="H30" s="1">
        <f t="shared" si="0"/>
        <v>3596.11</v>
      </c>
      <c r="I30" s="1">
        <f>'April 2022 '!N30</f>
        <v>41.697000000000003</v>
      </c>
      <c r="J30" s="1">
        <v>0</v>
      </c>
      <c r="K30" s="1">
        <f>'April 2022 '!K30+'May 2022'!J30</f>
        <v>0</v>
      </c>
      <c r="L30" s="1">
        <v>0</v>
      </c>
      <c r="M30" s="1">
        <f>'April 2022 '!M30+'May 2022'!L30</f>
        <v>0</v>
      </c>
      <c r="N30" s="1">
        <f t="shared" si="1"/>
        <v>41.697000000000003</v>
      </c>
      <c r="O30" s="1">
        <f>'April 2022 '!T30</f>
        <v>23.25</v>
      </c>
      <c r="P30" s="1">
        <v>0</v>
      </c>
      <c r="Q30" s="1">
        <f>'April 2022 '!Q30+'May 2022'!P30</f>
        <v>0</v>
      </c>
      <c r="R30" s="1">
        <v>0</v>
      </c>
      <c r="S30" s="1">
        <f>'April 2022 '!S30+'May 2022'!R30</f>
        <v>0</v>
      </c>
      <c r="T30" s="1">
        <f t="shared" si="2"/>
        <v>23.25</v>
      </c>
      <c r="U30" s="1">
        <f t="shared" si="3"/>
        <v>3661.0570000000002</v>
      </c>
    </row>
    <row r="31" spans="1:21" s="7" customFormat="1" ht="44.25" customHeight="1">
      <c r="A31" s="55">
        <v>19</v>
      </c>
      <c r="B31" s="57" t="s">
        <v>37</v>
      </c>
      <c r="C31" s="1">
        <f>'April 2022 '!H31</f>
        <v>4592.8090000000002</v>
      </c>
      <c r="D31" s="1">
        <v>8.85</v>
      </c>
      <c r="E31" s="1">
        <f>'April 2022 '!E31+'May 2022'!D31</f>
        <v>11.66</v>
      </c>
      <c r="F31" s="1">
        <v>0</v>
      </c>
      <c r="G31" s="1">
        <f>'April 2022 '!G31+'May 2022'!F31</f>
        <v>0</v>
      </c>
      <c r="H31" s="1">
        <f t="shared" si="0"/>
        <v>4601.6590000000006</v>
      </c>
      <c r="I31" s="1">
        <f>'April 2022 '!N31</f>
        <v>86.710000000000022</v>
      </c>
      <c r="J31" s="1">
        <v>0</v>
      </c>
      <c r="K31" s="1">
        <f>'April 2022 '!K31+'May 2022'!J31</f>
        <v>0</v>
      </c>
      <c r="L31" s="1">
        <v>0</v>
      </c>
      <c r="M31" s="1">
        <f>'April 2022 '!M31+'May 2022'!L31</f>
        <v>0</v>
      </c>
      <c r="N31" s="1">
        <f t="shared" si="1"/>
        <v>86.710000000000022</v>
      </c>
      <c r="O31" s="1">
        <f>'April 2022 '!T31</f>
        <v>14.850000000000001</v>
      </c>
      <c r="P31" s="1">
        <v>0</v>
      </c>
      <c r="Q31" s="1">
        <f>'April 2022 '!Q31+'May 2022'!P31</f>
        <v>0</v>
      </c>
      <c r="R31" s="1">
        <v>0</v>
      </c>
      <c r="S31" s="1">
        <f>'April 2022 '!S31+'May 2022'!R31</f>
        <v>0</v>
      </c>
      <c r="T31" s="1">
        <f t="shared" si="2"/>
        <v>14.850000000000001</v>
      </c>
      <c r="U31" s="1">
        <f t="shared" si="3"/>
        <v>4703.219000000001</v>
      </c>
    </row>
    <row r="32" spans="1:21" ht="70.5" customHeight="1">
      <c r="A32" s="55">
        <v>20</v>
      </c>
      <c r="B32" s="57" t="s">
        <v>38</v>
      </c>
      <c r="C32" s="1">
        <f>'April 2022 '!H32</f>
        <v>2346.0957999999991</v>
      </c>
      <c r="D32" s="1">
        <v>3.91</v>
      </c>
      <c r="E32" s="1">
        <f>'April 2022 '!E32+'May 2022'!D32</f>
        <v>7.15</v>
      </c>
      <c r="F32" s="1">
        <v>9.7200000000000006</v>
      </c>
      <c r="G32" s="1">
        <f>'April 2022 '!G32+'May 2022'!F32</f>
        <v>9.7200000000000006</v>
      </c>
      <c r="H32" s="1">
        <f t="shared" si="0"/>
        <v>2340.2857999999992</v>
      </c>
      <c r="I32" s="1">
        <f>'April 2022 '!N32</f>
        <v>391.83599999999996</v>
      </c>
      <c r="J32" s="1">
        <v>1.6</v>
      </c>
      <c r="K32" s="1">
        <f>'April 2022 '!K32+'May 2022'!J32</f>
        <v>1.6</v>
      </c>
      <c r="L32" s="1">
        <v>0</v>
      </c>
      <c r="M32" s="1">
        <f>'April 2022 '!M32+'May 2022'!L32</f>
        <v>0</v>
      </c>
      <c r="N32" s="1">
        <f t="shared" si="1"/>
        <v>393.43599999999998</v>
      </c>
      <c r="O32" s="1">
        <f>'April 2022 '!T32</f>
        <v>67.551999999999992</v>
      </c>
      <c r="P32" s="1">
        <v>0</v>
      </c>
      <c r="Q32" s="1">
        <f>'April 2022 '!Q32+'May 2022'!P32</f>
        <v>0</v>
      </c>
      <c r="R32" s="1">
        <v>0</v>
      </c>
      <c r="S32" s="1">
        <f>'April 2022 '!S32+'May 2022'!R32</f>
        <v>0</v>
      </c>
      <c r="T32" s="1">
        <f t="shared" si="2"/>
        <v>67.551999999999992</v>
      </c>
      <c r="U32" s="1">
        <f t="shared" si="3"/>
        <v>2801.2737999999995</v>
      </c>
    </row>
    <row r="33" spans="1:23" s="7" customFormat="1" ht="38.25" customHeight="1">
      <c r="A33" s="54"/>
      <c r="B33" s="56" t="s">
        <v>65</v>
      </c>
      <c r="C33" s="2">
        <f>SUM(C29:C32)</f>
        <v>14991.112800000001</v>
      </c>
      <c r="D33" s="2">
        <f t="shared" ref="D33:R33" si="10">SUM(D29:D32)</f>
        <v>16.98</v>
      </c>
      <c r="E33" s="2">
        <f>'April 2022 '!E33+'May 2022'!D33</f>
        <v>45.400000000000006</v>
      </c>
      <c r="F33" s="2">
        <f t="shared" si="10"/>
        <v>9.7200000000000006</v>
      </c>
      <c r="G33" s="2">
        <f>'April 2022 '!G33+'May 2022'!F33</f>
        <v>9.7200000000000006</v>
      </c>
      <c r="H33" s="2">
        <f t="shared" si="0"/>
        <v>14998.372800000001</v>
      </c>
      <c r="I33" s="2">
        <f t="shared" si="10"/>
        <v>672.053</v>
      </c>
      <c r="J33" s="2">
        <f t="shared" si="10"/>
        <v>1.6</v>
      </c>
      <c r="K33" s="2">
        <f>'April 2022 '!K33+'May 2022'!J33</f>
        <v>1.6</v>
      </c>
      <c r="L33" s="2">
        <f t="shared" si="10"/>
        <v>0</v>
      </c>
      <c r="M33" s="2">
        <f>'April 2022 '!M33+'May 2022'!L33</f>
        <v>0</v>
      </c>
      <c r="N33" s="2">
        <f t="shared" si="1"/>
        <v>673.65300000000002</v>
      </c>
      <c r="O33" s="2">
        <f t="shared" si="10"/>
        <v>140.172</v>
      </c>
      <c r="P33" s="2">
        <f t="shared" si="10"/>
        <v>0</v>
      </c>
      <c r="Q33" s="2">
        <f>'April 2022 '!Q33+'May 2022'!P33</f>
        <v>0</v>
      </c>
      <c r="R33" s="2">
        <f t="shared" si="10"/>
        <v>0</v>
      </c>
      <c r="S33" s="2">
        <f>'April 2022 '!S33+'May 2022'!R33</f>
        <v>23.2</v>
      </c>
      <c r="T33" s="2">
        <f t="shared" si="2"/>
        <v>140.172</v>
      </c>
      <c r="U33" s="2">
        <f t="shared" si="3"/>
        <v>15812.197800000002</v>
      </c>
    </row>
    <row r="34" spans="1:23" ht="38.25" customHeight="1">
      <c r="A34" s="55">
        <v>21</v>
      </c>
      <c r="B34" s="57" t="s">
        <v>39</v>
      </c>
      <c r="C34" s="1">
        <f>'April 2022 '!H34</f>
        <v>4450.55</v>
      </c>
      <c r="D34" s="1">
        <f>8.01+32.31</f>
        <v>40.32</v>
      </c>
      <c r="E34" s="1">
        <f>'April 2022 '!E34+'May 2022'!D34</f>
        <v>51.769999999999996</v>
      </c>
      <c r="F34" s="1">
        <v>0</v>
      </c>
      <c r="G34" s="1">
        <f>'April 2022 '!G34+'May 2022'!F34</f>
        <v>0</v>
      </c>
      <c r="H34" s="1">
        <f t="shared" si="0"/>
        <v>4490.87</v>
      </c>
      <c r="I34" s="1">
        <f>'April 2022 '!N34</f>
        <v>0</v>
      </c>
      <c r="J34" s="1">
        <f>0.55+21.59</f>
        <v>22.14</v>
      </c>
      <c r="K34" s="1">
        <f>'April 2022 '!K34+'May 2022'!J34</f>
        <v>22.14</v>
      </c>
      <c r="L34" s="1">
        <v>0</v>
      </c>
      <c r="M34" s="1">
        <f>'April 2022 '!M34+'May 2022'!L34</f>
        <v>0</v>
      </c>
      <c r="N34" s="1">
        <f t="shared" si="1"/>
        <v>22.14</v>
      </c>
      <c r="O34" s="1">
        <f>'April 2022 '!T34</f>
        <v>0</v>
      </c>
      <c r="P34" s="1">
        <v>72.7</v>
      </c>
      <c r="Q34" s="1">
        <f>'April 2022 '!Q34+'May 2022'!P34</f>
        <v>72.7</v>
      </c>
      <c r="R34" s="1">
        <v>0</v>
      </c>
      <c r="S34" s="1">
        <f>'April 2022 '!S34+'May 2022'!R34</f>
        <v>0</v>
      </c>
      <c r="T34" s="1">
        <f t="shared" si="2"/>
        <v>72.7</v>
      </c>
      <c r="U34" s="1">
        <f t="shared" si="3"/>
        <v>4585.71</v>
      </c>
    </row>
    <row r="35" spans="1:23" ht="38.25" customHeight="1">
      <c r="A35" s="55">
        <v>22</v>
      </c>
      <c r="B35" s="57" t="s">
        <v>40</v>
      </c>
      <c r="C35" s="1">
        <f>'April 2022 '!H35</f>
        <v>6268.2899999999972</v>
      </c>
      <c r="D35" s="1">
        <v>37.64</v>
      </c>
      <c r="E35" s="1">
        <f>'April 2022 '!E35+'May 2022'!D35</f>
        <v>96.35</v>
      </c>
      <c r="F35" s="1">
        <v>0</v>
      </c>
      <c r="G35" s="1">
        <f>'April 2022 '!G35+'May 2022'!F35</f>
        <v>0</v>
      </c>
      <c r="H35" s="1">
        <f t="shared" si="0"/>
        <v>6305.9299999999976</v>
      </c>
      <c r="I35" s="1">
        <f>'April 2022 '!N35</f>
        <v>12.61</v>
      </c>
      <c r="J35" s="1">
        <v>20.57</v>
      </c>
      <c r="K35" s="1">
        <f>'April 2022 '!K35+'May 2022'!J35</f>
        <v>26.26</v>
      </c>
      <c r="L35" s="1">
        <v>0</v>
      </c>
      <c r="M35" s="1">
        <f>'April 2022 '!M35+'May 2022'!L35</f>
        <v>0</v>
      </c>
      <c r="N35" s="1">
        <f t="shared" si="1"/>
        <v>33.18</v>
      </c>
      <c r="O35" s="1">
        <f>'April 2022 '!T35</f>
        <v>74.610000000000014</v>
      </c>
      <c r="P35" s="1">
        <v>16.190000000000001</v>
      </c>
      <c r="Q35" s="1">
        <f>'April 2022 '!Q35+'May 2022'!P35</f>
        <v>32.380000000000003</v>
      </c>
      <c r="R35" s="1">
        <v>0</v>
      </c>
      <c r="S35" s="1">
        <f>'April 2022 '!S35+'May 2022'!R35</f>
        <v>0</v>
      </c>
      <c r="T35" s="1">
        <f t="shared" si="2"/>
        <v>90.800000000000011</v>
      </c>
      <c r="U35" s="1">
        <f t="shared" si="3"/>
        <v>6429.909999999998</v>
      </c>
    </row>
    <row r="36" spans="1:23" s="7" customFormat="1" ht="38.25" customHeight="1">
      <c r="A36" s="55">
        <v>23</v>
      </c>
      <c r="B36" s="57" t="s">
        <v>41</v>
      </c>
      <c r="C36" s="1">
        <f>'April 2022 '!H36</f>
        <v>3470.06</v>
      </c>
      <c r="D36" s="1">
        <v>32.31</v>
      </c>
      <c r="E36" s="1">
        <f>'April 2022 '!E36+'May 2022'!D36</f>
        <v>51.27</v>
      </c>
      <c r="F36" s="1">
        <v>0</v>
      </c>
      <c r="G36" s="1">
        <f>'April 2022 '!G36+'May 2022'!F36</f>
        <v>0</v>
      </c>
      <c r="H36" s="1">
        <f t="shared" si="0"/>
        <v>3502.37</v>
      </c>
      <c r="I36" s="1">
        <f>'April 2022 '!N36</f>
        <v>25.05000000000004</v>
      </c>
      <c r="J36" s="1">
        <v>0</v>
      </c>
      <c r="K36" s="1">
        <f>'April 2022 '!K36+'May 2022'!J36</f>
        <v>0</v>
      </c>
      <c r="L36" s="1">
        <v>0</v>
      </c>
      <c r="M36" s="1">
        <f>'April 2022 '!M36+'May 2022'!L36</f>
        <v>4.63</v>
      </c>
      <c r="N36" s="1">
        <f t="shared" si="1"/>
        <v>25.05000000000004</v>
      </c>
      <c r="O36" s="1">
        <f>'April 2022 '!T36</f>
        <v>36.379999999999995</v>
      </c>
      <c r="P36" s="1">
        <v>0</v>
      </c>
      <c r="Q36" s="1">
        <f>'April 2022 '!Q36+'May 2022'!P36</f>
        <v>19.29</v>
      </c>
      <c r="R36" s="1">
        <v>0</v>
      </c>
      <c r="S36" s="1">
        <f>'April 2022 '!S36+'May 2022'!R36</f>
        <v>0</v>
      </c>
      <c r="T36" s="1">
        <f t="shared" si="2"/>
        <v>36.379999999999995</v>
      </c>
      <c r="U36" s="1">
        <f t="shared" si="3"/>
        <v>3563.8</v>
      </c>
    </row>
    <row r="37" spans="1:23" s="7" customFormat="1" ht="38.25" customHeight="1">
      <c r="A37" s="55">
        <v>24</v>
      </c>
      <c r="B37" s="57" t="s">
        <v>42</v>
      </c>
      <c r="C37" s="1">
        <f>'April 2022 '!H37</f>
        <v>4793.6299999999974</v>
      </c>
      <c r="D37" s="1">
        <f>9.93+22.31</f>
        <v>32.239999999999995</v>
      </c>
      <c r="E37" s="1">
        <f>'April 2022 '!E37+'May 2022'!D37</f>
        <v>37.749999999999993</v>
      </c>
      <c r="F37" s="1">
        <v>0</v>
      </c>
      <c r="G37" s="1">
        <f>'April 2022 '!G37+'May 2022'!F37</f>
        <v>0</v>
      </c>
      <c r="H37" s="1">
        <f t="shared" si="0"/>
        <v>4825.8699999999972</v>
      </c>
      <c r="I37" s="1">
        <f>'April 2022 '!N37</f>
        <v>12.430000000000001</v>
      </c>
      <c r="J37" s="1">
        <v>0</v>
      </c>
      <c r="K37" s="1">
        <f>'April 2022 '!K37+'May 2022'!J37</f>
        <v>0</v>
      </c>
      <c r="L37" s="1">
        <v>0</v>
      </c>
      <c r="M37" s="1">
        <f>'April 2022 '!M37+'May 2022'!L37</f>
        <v>1.06</v>
      </c>
      <c r="N37" s="1">
        <f t="shared" si="1"/>
        <v>12.430000000000001</v>
      </c>
      <c r="O37" s="1">
        <f>'April 2022 '!T37</f>
        <v>3.0599999999999996</v>
      </c>
      <c r="P37" s="1">
        <v>0</v>
      </c>
      <c r="Q37" s="1">
        <f>'April 2022 '!Q37+'May 2022'!P37</f>
        <v>0</v>
      </c>
      <c r="R37" s="1">
        <v>0</v>
      </c>
      <c r="S37" s="1">
        <f>'April 2022 '!S37+'May 2022'!R37</f>
        <v>3.46</v>
      </c>
      <c r="T37" s="1">
        <f t="shared" si="2"/>
        <v>3.0599999999999996</v>
      </c>
      <c r="U37" s="1">
        <f t="shared" si="3"/>
        <v>4841.3599999999979</v>
      </c>
    </row>
    <row r="38" spans="1:23" s="7" customFormat="1" ht="38.25" customHeight="1">
      <c r="A38" s="54"/>
      <c r="B38" s="56" t="s">
        <v>43</v>
      </c>
      <c r="C38" s="2">
        <f>SUM(C34:C37)</f>
        <v>18982.529999999992</v>
      </c>
      <c r="D38" s="2">
        <f t="shared" ref="D38:R38" si="11">SUM(D34:D37)</f>
        <v>142.51</v>
      </c>
      <c r="E38" s="2">
        <f>'April 2022 '!E38+'May 2022'!D38</f>
        <v>237.14</v>
      </c>
      <c r="F38" s="2">
        <f t="shared" si="11"/>
        <v>0</v>
      </c>
      <c r="G38" s="2">
        <f>'April 2022 '!G38+'May 2022'!F38</f>
        <v>0</v>
      </c>
      <c r="H38" s="2">
        <f t="shared" si="0"/>
        <v>19125.03999999999</v>
      </c>
      <c r="I38" s="2">
        <f t="shared" si="11"/>
        <v>50.090000000000039</v>
      </c>
      <c r="J38" s="2">
        <f t="shared" si="11"/>
        <v>42.71</v>
      </c>
      <c r="K38" s="2">
        <f>'April 2022 '!K38+'May 2022'!J38</f>
        <v>48.4</v>
      </c>
      <c r="L38" s="2">
        <f t="shared" si="11"/>
        <v>0</v>
      </c>
      <c r="M38" s="2">
        <f>'April 2022 '!M38+'May 2022'!L38</f>
        <v>5.6899999999999995</v>
      </c>
      <c r="N38" s="2">
        <f t="shared" si="1"/>
        <v>92.80000000000004</v>
      </c>
      <c r="O38" s="2">
        <f t="shared" si="11"/>
        <v>114.05000000000001</v>
      </c>
      <c r="P38" s="2">
        <f t="shared" si="11"/>
        <v>88.89</v>
      </c>
      <c r="Q38" s="2">
        <f>'April 2022 '!Q38+'May 2022'!P38</f>
        <v>124.37</v>
      </c>
      <c r="R38" s="2">
        <f t="shared" si="11"/>
        <v>0</v>
      </c>
      <c r="S38" s="2">
        <f>'April 2022 '!S38+'May 2022'!R38</f>
        <v>3.46</v>
      </c>
      <c r="T38" s="2">
        <f t="shared" si="2"/>
        <v>202.94</v>
      </c>
      <c r="U38" s="2">
        <f t="shared" si="3"/>
        <v>19420.779999999988</v>
      </c>
    </row>
    <row r="39" spans="1:23" s="7" customFormat="1" ht="38.25" customHeight="1">
      <c r="A39" s="54"/>
      <c r="B39" s="56" t="s">
        <v>44</v>
      </c>
      <c r="C39" s="2">
        <f>C38+C33+C28</f>
        <v>41116.207799999996</v>
      </c>
      <c r="D39" s="2">
        <f t="shared" ref="D39:R39" si="12">D38+D33+D28</f>
        <v>176.01</v>
      </c>
      <c r="E39" s="2">
        <f>'April 2022 '!E39+'May 2022'!D39</f>
        <v>311.94</v>
      </c>
      <c r="F39" s="2">
        <f t="shared" si="12"/>
        <v>9.7200000000000006</v>
      </c>
      <c r="G39" s="2">
        <f>'April 2022 '!G39+'May 2022'!F39</f>
        <v>9.7200000000000006</v>
      </c>
      <c r="H39" s="2">
        <f t="shared" si="0"/>
        <v>41282.497799999997</v>
      </c>
      <c r="I39" s="2">
        <f t="shared" si="12"/>
        <v>1385.8009999999999</v>
      </c>
      <c r="J39" s="2">
        <f t="shared" si="12"/>
        <v>45.18</v>
      </c>
      <c r="K39" s="2">
        <f>'April 2022 '!K39+'May 2022'!J39</f>
        <v>53.01</v>
      </c>
      <c r="L39" s="2">
        <f t="shared" si="12"/>
        <v>0</v>
      </c>
      <c r="M39" s="2">
        <f>'April 2022 '!M39+'May 2022'!L39</f>
        <v>5.6899999999999995</v>
      </c>
      <c r="N39" s="2">
        <f t="shared" si="1"/>
        <v>1430.981</v>
      </c>
      <c r="O39" s="2">
        <f t="shared" si="12"/>
        <v>303.822</v>
      </c>
      <c r="P39" s="2">
        <f t="shared" si="12"/>
        <v>88.89</v>
      </c>
      <c r="Q39" s="2">
        <f>'April 2022 '!Q39+'May 2022'!P39</f>
        <v>124.37</v>
      </c>
      <c r="R39" s="2">
        <f t="shared" si="12"/>
        <v>0</v>
      </c>
      <c r="S39" s="2">
        <f>'April 2022 '!S39+'May 2022'!R39</f>
        <v>26.66</v>
      </c>
      <c r="T39" s="2">
        <f t="shared" si="2"/>
        <v>392.71199999999999</v>
      </c>
      <c r="U39" s="2">
        <f t="shared" si="3"/>
        <v>43106.190799999997</v>
      </c>
      <c r="V39" s="2">
        <f t="shared" ref="V39:W39" si="13">V38+V33+V28</f>
        <v>0</v>
      </c>
      <c r="W39" s="2">
        <f t="shared" si="13"/>
        <v>0</v>
      </c>
    </row>
    <row r="40" spans="1:23" ht="38.25" customHeight="1">
      <c r="A40" s="55">
        <v>25</v>
      </c>
      <c r="B40" s="57" t="s">
        <v>45</v>
      </c>
      <c r="C40" s="1">
        <f>'April 2022 '!H40</f>
        <v>11499.204</v>
      </c>
      <c r="D40" s="1">
        <v>30.82</v>
      </c>
      <c r="E40" s="1">
        <f>'April 2022 '!E40+'May 2022'!D40</f>
        <v>139.58000000000001</v>
      </c>
      <c r="F40" s="1">
        <v>0</v>
      </c>
      <c r="G40" s="1">
        <f>'April 2022 '!G40+'May 2022'!F40</f>
        <v>0</v>
      </c>
      <c r="H40" s="1">
        <f t="shared" si="0"/>
        <v>11530.023999999999</v>
      </c>
      <c r="I40" s="1">
        <f>'April 2022 '!N40</f>
        <v>0</v>
      </c>
      <c r="J40" s="1">
        <v>0</v>
      </c>
      <c r="K40" s="1">
        <f>'April 2022 '!K40+'May 2022'!J40</f>
        <v>0</v>
      </c>
      <c r="L40" s="1">
        <v>0</v>
      </c>
      <c r="M40" s="1">
        <f>'April 2022 '!M40+'May 2022'!L40</f>
        <v>0</v>
      </c>
      <c r="N40" s="1">
        <f t="shared" si="1"/>
        <v>0</v>
      </c>
      <c r="O40" s="1">
        <f>'April 2022 '!T40</f>
        <v>0</v>
      </c>
      <c r="P40" s="1">
        <v>0</v>
      </c>
      <c r="Q40" s="1">
        <f>'April 2022 '!Q40+'May 2022'!P40</f>
        <v>0</v>
      </c>
      <c r="R40" s="1">
        <v>0</v>
      </c>
      <c r="S40" s="1">
        <f>'April 2022 '!S40+'May 2022'!R40</f>
        <v>0</v>
      </c>
      <c r="T40" s="1">
        <f t="shared" si="2"/>
        <v>0</v>
      </c>
      <c r="U40" s="1">
        <f t="shared" si="3"/>
        <v>11530.023999999999</v>
      </c>
    </row>
    <row r="41" spans="1:23" ht="38.25" customHeight="1">
      <c r="A41" s="55">
        <v>26</v>
      </c>
      <c r="B41" s="57" t="s">
        <v>46</v>
      </c>
      <c r="C41" s="1">
        <f>'April 2022 '!H41</f>
        <v>7553.6069999999945</v>
      </c>
      <c r="D41" s="1">
        <v>88.75</v>
      </c>
      <c r="E41" s="1">
        <f>'April 2022 '!E41+'May 2022'!D41</f>
        <v>144.32</v>
      </c>
      <c r="F41" s="1">
        <v>0</v>
      </c>
      <c r="G41" s="1">
        <f>'April 2022 '!G41+'May 2022'!F41</f>
        <v>0</v>
      </c>
      <c r="H41" s="1">
        <f t="shared" si="0"/>
        <v>7642.3569999999945</v>
      </c>
      <c r="I41" s="1">
        <f>'April 2022 '!N41</f>
        <v>0</v>
      </c>
      <c r="J41" s="1">
        <v>0</v>
      </c>
      <c r="K41" s="1">
        <f>'April 2022 '!K41+'May 2022'!J41</f>
        <v>0</v>
      </c>
      <c r="L41" s="1">
        <v>0</v>
      </c>
      <c r="M41" s="1">
        <f>'April 2022 '!M41+'May 2022'!L41</f>
        <v>0</v>
      </c>
      <c r="N41" s="1">
        <f t="shared" si="1"/>
        <v>0</v>
      </c>
      <c r="O41" s="1">
        <f>'April 2022 '!T41</f>
        <v>0</v>
      </c>
      <c r="P41" s="1">
        <v>0</v>
      </c>
      <c r="Q41" s="1">
        <f>'April 2022 '!Q41+'May 2022'!P41</f>
        <v>0</v>
      </c>
      <c r="R41" s="1">
        <v>0</v>
      </c>
      <c r="S41" s="1">
        <f>'April 2022 '!S41+'May 2022'!R41</f>
        <v>0</v>
      </c>
      <c r="T41" s="1">
        <f t="shared" si="2"/>
        <v>0</v>
      </c>
      <c r="U41" s="1">
        <f t="shared" si="3"/>
        <v>7642.3569999999945</v>
      </c>
    </row>
    <row r="42" spans="1:23" s="7" customFormat="1" ht="38.25" customHeight="1">
      <c r="A42" s="55">
        <v>27</v>
      </c>
      <c r="B42" s="57" t="s">
        <v>47</v>
      </c>
      <c r="C42" s="1">
        <f>'April 2022 '!H42</f>
        <v>13825.648999999996</v>
      </c>
      <c r="D42" s="1">
        <v>4.1399999999999997</v>
      </c>
      <c r="E42" s="1">
        <f>'April 2022 '!E42+'May 2022'!D42</f>
        <v>24.35</v>
      </c>
      <c r="F42" s="1">
        <v>0</v>
      </c>
      <c r="G42" s="1">
        <f>'April 2022 '!G42+'May 2022'!F42</f>
        <v>0</v>
      </c>
      <c r="H42" s="1">
        <f t="shared" si="0"/>
        <v>13829.788999999995</v>
      </c>
      <c r="I42" s="1">
        <f>'April 2022 '!N42</f>
        <v>0</v>
      </c>
      <c r="J42" s="1">
        <v>0</v>
      </c>
      <c r="K42" s="1">
        <f>'April 2022 '!K42+'May 2022'!J42</f>
        <v>0</v>
      </c>
      <c r="L42" s="1">
        <v>0</v>
      </c>
      <c r="M42" s="1">
        <f>'April 2022 '!M42+'May 2022'!L42</f>
        <v>0</v>
      </c>
      <c r="N42" s="1">
        <f t="shared" si="1"/>
        <v>0</v>
      </c>
      <c r="O42" s="1">
        <f>'April 2022 '!T42</f>
        <v>39.019999999999996</v>
      </c>
      <c r="P42" s="1">
        <v>0</v>
      </c>
      <c r="Q42" s="1">
        <f>'April 2022 '!Q42+'May 2022'!P42</f>
        <v>0</v>
      </c>
      <c r="R42" s="1">
        <v>0</v>
      </c>
      <c r="S42" s="1">
        <f>'April 2022 '!S42+'May 2022'!R42</f>
        <v>0</v>
      </c>
      <c r="T42" s="1">
        <f t="shared" si="2"/>
        <v>39.019999999999996</v>
      </c>
      <c r="U42" s="1">
        <f t="shared" si="3"/>
        <v>13868.808999999996</v>
      </c>
    </row>
    <row r="43" spans="1:23" ht="38.25" customHeight="1">
      <c r="A43" s="55">
        <v>28</v>
      </c>
      <c r="B43" s="57" t="s">
        <v>48</v>
      </c>
      <c r="C43" s="1">
        <f>'April 2022 '!H43</f>
        <v>3973.4700000000012</v>
      </c>
      <c r="D43" s="1">
        <v>5.37</v>
      </c>
      <c r="E43" s="1">
        <f>'April 2022 '!E43+'May 2022'!D43</f>
        <v>11.36</v>
      </c>
      <c r="F43" s="1">
        <v>0</v>
      </c>
      <c r="G43" s="1">
        <f>'April 2022 '!G43+'May 2022'!F43</f>
        <v>0</v>
      </c>
      <c r="H43" s="1">
        <f t="shared" si="0"/>
        <v>3978.8400000000011</v>
      </c>
      <c r="I43" s="1">
        <f>'April 2022 '!N43</f>
        <v>0</v>
      </c>
      <c r="J43" s="1">
        <v>0</v>
      </c>
      <c r="K43" s="1">
        <f>'April 2022 '!K43+'May 2022'!J43</f>
        <v>0</v>
      </c>
      <c r="L43" s="1">
        <v>0</v>
      </c>
      <c r="M43" s="1">
        <f>'April 2022 '!M43+'May 2022'!L43</f>
        <v>0</v>
      </c>
      <c r="N43" s="1">
        <f t="shared" si="1"/>
        <v>0</v>
      </c>
      <c r="O43" s="1">
        <f>'April 2022 '!T43</f>
        <v>0</v>
      </c>
      <c r="P43" s="1">
        <v>0</v>
      </c>
      <c r="Q43" s="1">
        <f>'April 2022 '!Q43+'May 2022'!P43</f>
        <v>0</v>
      </c>
      <c r="R43" s="1">
        <v>0</v>
      </c>
      <c r="S43" s="1">
        <f>'April 2022 '!S43+'May 2022'!R43</f>
        <v>0</v>
      </c>
      <c r="T43" s="1">
        <f t="shared" si="2"/>
        <v>0</v>
      </c>
      <c r="U43" s="1">
        <f t="shared" si="3"/>
        <v>3978.8400000000011</v>
      </c>
    </row>
    <row r="44" spans="1:23" s="7" customFormat="1" ht="38.25" customHeight="1">
      <c r="A44" s="54"/>
      <c r="B44" s="56" t="s">
        <v>49</v>
      </c>
      <c r="C44" s="2">
        <f>SUM(C40:C43)</f>
        <v>36851.929999999993</v>
      </c>
      <c r="D44" s="2">
        <f t="shared" ref="D44:R44" si="14">SUM(D40:D43)</f>
        <v>129.07999999999998</v>
      </c>
      <c r="E44" s="2">
        <f>'April 2022 '!E44+'May 2022'!D44</f>
        <v>319.61</v>
      </c>
      <c r="F44" s="2">
        <f t="shared" si="14"/>
        <v>0</v>
      </c>
      <c r="G44" s="2">
        <f>'April 2022 '!G44+'May 2022'!F44</f>
        <v>0</v>
      </c>
      <c r="H44" s="2">
        <f t="shared" si="0"/>
        <v>36981.009999999995</v>
      </c>
      <c r="I44" s="2">
        <f t="shared" si="14"/>
        <v>0</v>
      </c>
      <c r="J44" s="2">
        <f t="shared" si="14"/>
        <v>0</v>
      </c>
      <c r="K44" s="2">
        <f>'April 2022 '!K44+'May 2022'!J44</f>
        <v>0</v>
      </c>
      <c r="L44" s="2">
        <f t="shared" si="14"/>
        <v>0</v>
      </c>
      <c r="M44" s="2">
        <f>'April 2022 '!M44+'May 2022'!L44</f>
        <v>0</v>
      </c>
      <c r="N44" s="2">
        <f t="shared" si="1"/>
        <v>0</v>
      </c>
      <c r="O44" s="2">
        <f t="shared" si="14"/>
        <v>39.019999999999996</v>
      </c>
      <c r="P44" s="2">
        <f t="shared" si="14"/>
        <v>0</v>
      </c>
      <c r="Q44" s="2">
        <f>'April 2022 '!Q44+'May 2022'!P44</f>
        <v>0</v>
      </c>
      <c r="R44" s="2">
        <f t="shared" si="14"/>
        <v>0</v>
      </c>
      <c r="S44" s="2">
        <f>'April 2022 '!S44+'May 2022'!R44</f>
        <v>0</v>
      </c>
      <c r="T44" s="2">
        <f t="shared" si="2"/>
        <v>39.019999999999996</v>
      </c>
      <c r="U44" s="2">
        <f t="shared" si="3"/>
        <v>37020.029999999992</v>
      </c>
    </row>
    <row r="45" spans="1:23" ht="38.25" customHeight="1">
      <c r="A45" s="55">
        <v>29</v>
      </c>
      <c r="B45" s="57" t="s">
        <v>50</v>
      </c>
      <c r="C45" s="1">
        <f>'April 2022 '!H45</f>
        <v>8438.4721000000009</v>
      </c>
      <c r="D45" s="1">
        <v>17.41</v>
      </c>
      <c r="E45" s="1">
        <f>'April 2022 '!E45+'May 2022'!D45</f>
        <v>32.56</v>
      </c>
      <c r="F45" s="1">
        <v>0</v>
      </c>
      <c r="G45" s="1">
        <f>'April 2022 '!G45+'May 2022'!F45</f>
        <v>0</v>
      </c>
      <c r="H45" s="1">
        <f t="shared" si="0"/>
        <v>8455.8821000000007</v>
      </c>
      <c r="I45" s="1">
        <f>'April 2022 '!N45</f>
        <v>16.759999999999998</v>
      </c>
      <c r="J45" s="1">
        <v>0.22</v>
      </c>
      <c r="K45" s="1">
        <f>'April 2022 '!K45+'May 2022'!J45</f>
        <v>0.22</v>
      </c>
      <c r="L45" s="1">
        <v>0</v>
      </c>
      <c r="M45" s="1">
        <f>'April 2022 '!M45+'May 2022'!L45</f>
        <v>0</v>
      </c>
      <c r="N45" s="1">
        <f t="shared" si="1"/>
        <v>16.979999999999997</v>
      </c>
      <c r="O45" s="1">
        <f>'April 2022 '!T45</f>
        <v>14.75</v>
      </c>
      <c r="P45" s="1">
        <v>0</v>
      </c>
      <c r="Q45" s="1">
        <f>'April 2022 '!Q45+'May 2022'!P45</f>
        <v>0</v>
      </c>
      <c r="R45" s="1">
        <v>0</v>
      </c>
      <c r="S45" s="1">
        <f>'April 2022 '!S45+'May 2022'!R45</f>
        <v>0</v>
      </c>
      <c r="T45" s="1">
        <f t="shared" si="2"/>
        <v>14.75</v>
      </c>
      <c r="U45" s="1">
        <f t="shared" si="3"/>
        <v>8487.6121000000003</v>
      </c>
    </row>
    <row r="46" spans="1:23" ht="38.25" customHeight="1">
      <c r="A46" s="55">
        <v>30</v>
      </c>
      <c r="B46" s="57" t="s">
        <v>51</v>
      </c>
      <c r="C46" s="1">
        <f>'April 2022 '!H46</f>
        <v>7758.7050000000017</v>
      </c>
      <c r="D46" s="1">
        <v>6.14</v>
      </c>
      <c r="E46" s="1">
        <f>'April 2022 '!E46+'May 2022'!D46</f>
        <v>26.35</v>
      </c>
      <c r="F46" s="1">
        <v>0</v>
      </c>
      <c r="G46" s="1">
        <f>'April 2022 '!G46+'May 2022'!F46</f>
        <v>0</v>
      </c>
      <c r="H46" s="1">
        <f t="shared" si="0"/>
        <v>7764.8450000000021</v>
      </c>
      <c r="I46" s="1">
        <f>'April 2022 '!N46</f>
        <v>0</v>
      </c>
      <c r="J46" s="1">
        <v>0</v>
      </c>
      <c r="K46" s="1">
        <f>'April 2022 '!K46+'May 2022'!J46</f>
        <v>0</v>
      </c>
      <c r="L46" s="1">
        <v>0</v>
      </c>
      <c r="M46" s="1">
        <f>'April 2022 '!M46+'May 2022'!L46</f>
        <v>0</v>
      </c>
      <c r="N46" s="1">
        <f t="shared" si="1"/>
        <v>0</v>
      </c>
      <c r="O46" s="1">
        <f>'April 2022 '!T46</f>
        <v>0</v>
      </c>
      <c r="P46" s="1">
        <v>0</v>
      </c>
      <c r="Q46" s="1">
        <f>'April 2022 '!Q46+'May 2022'!P46</f>
        <v>0</v>
      </c>
      <c r="R46" s="1">
        <v>0</v>
      </c>
      <c r="S46" s="1">
        <f>'April 2022 '!S46+'May 2022'!R46</f>
        <v>0</v>
      </c>
      <c r="T46" s="1">
        <f t="shared" si="2"/>
        <v>0</v>
      </c>
      <c r="U46" s="1">
        <f t="shared" si="3"/>
        <v>7764.8450000000021</v>
      </c>
    </row>
    <row r="47" spans="1:23" s="7" customFormat="1" ht="38.25" customHeight="1">
      <c r="A47" s="55">
        <v>31</v>
      </c>
      <c r="B47" s="57" t="s">
        <v>52</v>
      </c>
      <c r="C47" s="1">
        <f>'April 2022 '!H47</f>
        <v>8828.5700000000015</v>
      </c>
      <c r="D47" s="1">
        <v>33.22</v>
      </c>
      <c r="E47" s="1">
        <f>'April 2022 '!E47+'May 2022'!D47</f>
        <v>77.150000000000006</v>
      </c>
      <c r="F47" s="1">
        <v>0</v>
      </c>
      <c r="G47" s="1">
        <f>'April 2022 '!G47+'May 2022'!F47</f>
        <v>0</v>
      </c>
      <c r="H47" s="1">
        <f t="shared" si="0"/>
        <v>8861.7900000000009</v>
      </c>
      <c r="I47" s="1">
        <f>'April 2022 '!N47</f>
        <v>3.13</v>
      </c>
      <c r="J47" s="1">
        <v>0</v>
      </c>
      <c r="K47" s="1">
        <f>'April 2022 '!K47+'May 2022'!J47</f>
        <v>0</v>
      </c>
      <c r="L47" s="1">
        <v>0</v>
      </c>
      <c r="M47" s="1">
        <f>'April 2022 '!M47+'May 2022'!L47</f>
        <v>0</v>
      </c>
      <c r="N47" s="1">
        <f t="shared" si="1"/>
        <v>3.13</v>
      </c>
      <c r="O47" s="1">
        <f>'April 2022 '!T47</f>
        <v>0.03</v>
      </c>
      <c r="P47" s="1">
        <v>0</v>
      </c>
      <c r="Q47" s="1">
        <f>'April 2022 '!Q47+'May 2022'!P47</f>
        <v>0</v>
      </c>
      <c r="R47" s="1">
        <v>0</v>
      </c>
      <c r="S47" s="1">
        <f>'April 2022 '!S47+'May 2022'!R47</f>
        <v>0</v>
      </c>
      <c r="T47" s="1">
        <f t="shared" si="2"/>
        <v>0.03</v>
      </c>
      <c r="U47" s="1">
        <f t="shared" si="3"/>
        <v>8864.9500000000007</v>
      </c>
    </row>
    <row r="48" spans="1:23" s="7" customFormat="1" ht="38.25" customHeight="1">
      <c r="A48" s="55">
        <v>32</v>
      </c>
      <c r="B48" s="57" t="s">
        <v>53</v>
      </c>
      <c r="C48" s="1">
        <f>'April 2022 '!H48</f>
        <v>8506.3289999999997</v>
      </c>
      <c r="D48" s="1">
        <v>48.15</v>
      </c>
      <c r="E48" s="1">
        <f>'April 2022 '!E48+'May 2022'!D48</f>
        <v>357.69</v>
      </c>
      <c r="F48" s="1">
        <v>0</v>
      </c>
      <c r="G48" s="1">
        <f>'April 2022 '!G48+'May 2022'!F48</f>
        <v>0</v>
      </c>
      <c r="H48" s="1">
        <f t="shared" si="0"/>
        <v>8554.4789999999994</v>
      </c>
      <c r="I48" s="1">
        <f>'April 2022 '!N48</f>
        <v>5.0249999999999995</v>
      </c>
      <c r="J48" s="1">
        <v>0</v>
      </c>
      <c r="K48" s="1">
        <f>'April 2022 '!K48+'May 2022'!J48</f>
        <v>0</v>
      </c>
      <c r="L48" s="1">
        <v>0</v>
      </c>
      <c r="M48" s="1">
        <f>'April 2022 '!M48+'May 2022'!L48</f>
        <v>0</v>
      </c>
      <c r="N48" s="1">
        <f t="shared" si="1"/>
        <v>5.0249999999999995</v>
      </c>
      <c r="O48" s="1">
        <f>'April 2022 '!T48</f>
        <v>0</v>
      </c>
      <c r="P48" s="1">
        <v>4.21</v>
      </c>
      <c r="Q48" s="1">
        <f>'April 2022 '!Q48+'May 2022'!P48</f>
        <v>4.21</v>
      </c>
      <c r="R48" s="1">
        <v>0</v>
      </c>
      <c r="S48" s="1">
        <f>'April 2022 '!S48+'May 2022'!R48</f>
        <v>0</v>
      </c>
      <c r="T48" s="1">
        <f t="shared" si="2"/>
        <v>4.21</v>
      </c>
      <c r="U48" s="1">
        <f t="shared" si="3"/>
        <v>8563.7139999999981</v>
      </c>
    </row>
    <row r="49" spans="1:21" s="7" customFormat="1" ht="38.25" customHeight="1">
      <c r="A49" s="54"/>
      <c r="B49" s="56" t="s">
        <v>54</v>
      </c>
      <c r="C49" s="2">
        <f>SUM(C45:C48)</f>
        <v>33532.076100000006</v>
      </c>
      <c r="D49" s="2">
        <f t="shared" ref="D49:R49" si="15">SUM(D45:D48)</f>
        <v>104.91999999999999</v>
      </c>
      <c r="E49" s="2">
        <f>'April 2022 '!E49+'May 2022'!D49</f>
        <v>493.75</v>
      </c>
      <c r="F49" s="2">
        <f t="shared" si="15"/>
        <v>0</v>
      </c>
      <c r="G49" s="2">
        <f>'April 2022 '!G49+'May 2022'!F49</f>
        <v>0</v>
      </c>
      <c r="H49" s="2">
        <f t="shared" si="0"/>
        <v>33636.996100000004</v>
      </c>
      <c r="I49" s="2">
        <f t="shared" si="15"/>
        <v>24.914999999999996</v>
      </c>
      <c r="J49" s="2">
        <f t="shared" si="15"/>
        <v>0.22</v>
      </c>
      <c r="K49" s="2">
        <f>'April 2022 '!K49+'May 2022'!J49</f>
        <v>0.22</v>
      </c>
      <c r="L49" s="2">
        <f t="shared" si="15"/>
        <v>0</v>
      </c>
      <c r="M49" s="2">
        <f>'April 2022 '!M49+'May 2022'!L49</f>
        <v>0</v>
      </c>
      <c r="N49" s="2">
        <f t="shared" si="1"/>
        <v>25.134999999999994</v>
      </c>
      <c r="O49" s="2">
        <f t="shared" si="15"/>
        <v>14.78</v>
      </c>
      <c r="P49" s="2">
        <f t="shared" si="15"/>
        <v>4.21</v>
      </c>
      <c r="Q49" s="2">
        <f>'April 2022 '!Q49+'May 2022'!P49</f>
        <v>4.21</v>
      </c>
      <c r="R49" s="2">
        <f t="shared" si="15"/>
        <v>0</v>
      </c>
      <c r="S49" s="2">
        <f>'April 2022 '!S49+'May 2022'!R49</f>
        <v>0</v>
      </c>
      <c r="T49" s="2">
        <f t="shared" si="2"/>
        <v>18.989999999999998</v>
      </c>
      <c r="U49" s="2">
        <f t="shared" si="3"/>
        <v>33681.121100000004</v>
      </c>
    </row>
    <row r="50" spans="1:21" s="7" customFormat="1" ht="38.25" customHeight="1">
      <c r="A50" s="54"/>
      <c r="B50" s="56" t="s">
        <v>55</v>
      </c>
      <c r="C50" s="2">
        <f>C49+C44</f>
        <v>70384.006099999999</v>
      </c>
      <c r="D50" s="2">
        <f t="shared" ref="D50:R50" si="16">D49+D44</f>
        <v>233.99999999999997</v>
      </c>
      <c r="E50" s="2">
        <f>'April 2022 '!E50+'May 2022'!D50</f>
        <v>813.36000000000013</v>
      </c>
      <c r="F50" s="2">
        <f t="shared" si="16"/>
        <v>0</v>
      </c>
      <c r="G50" s="2">
        <f>'April 2022 '!G50+'May 2022'!F50</f>
        <v>0</v>
      </c>
      <c r="H50" s="2">
        <f t="shared" si="0"/>
        <v>70618.006099999999</v>
      </c>
      <c r="I50" s="2">
        <f t="shared" si="16"/>
        <v>24.914999999999996</v>
      </c>
      <c r="J50" s="2">
        <f t="shared" si="16"/>
        <v>0.22</v>
      </c>
      <c r="K50" s="2">
        <f>'April 2022 '!K50+'May 2022'!J50</f>
        <v>0.22</v>
      </c>
      <c r="L50" s="2">
        <f t="shared" si="16"/>
        <v>0</v>
      </c>
      <c r="M50" s="2">
        <f>'April 2022 '!M50+'May 2022'!L50</f>
        <v>0</v>
      </c>
      <c r="N50" s="2">
        <f t="shared" si="1"/>
        <v>25.134999999999994</v>
      </c>
      <c r="O50" s="2">
        <f t="shared" si="16"/>
        <v>53.8</v>
      </c>
      <c r="P50" s="2">
        <f t="shared" si="16"/>
        <v>4.21</v>
      </c>
      <c r="Q50" s="2">
        <f>'April 2022 '!Q50+'May 2022'!P50</f>
        <v>4.21</v>
      </c>
      <c r="R50" s="2">
        <f t="shared" si="16"/>
        <v>0</v>
      </c>
      <c r="S50" s="2">
        <f>'April 2022 '!S50+'May 2022'!R50</f>
        <v>0</v>
      </c>
      <c r="T50" s="2">
        <f t="shared" si="2"/>
        <v>58.01</v>
      </c>
      <c r="U50" s="2">
        <f t="shared" si="3"/>
        <v>70701.151099999988</v>
      </c>
    </row>
    <row r="51" spans="1:21" s="7" customFormat="1" ht="38.25" customHeight="1">
      <c r="A51" s="54"/>
      <c r="B51" s="56" t="s">
        <v>56</v>
      </c>
      <c r="C51" s="2">
        <f>C50+C39+C25</f>
        <v>116132.5199</v>
      </c>
      <c r="D51" s="2">
        <f t="shared" ref="D51:R51" si="17">D50+D39+D25</f>
        <v>410.58</v>
      </c>
      <c r="E51" s="2">
        <f>'April 2022 '!E51+'May 2022'!D51</f>
        <v>1130.6100000000001</v>
      </c>
      <c r="F51" s="2">
        <f t="shared" si="17"/>
        <v>9.7200000000000006</v>
      </c>
      <c r="G51" s="2">
        <f>'April 2022 '!G51+'May 2022'!F51</f>
        <v>9.7200000000000006</v>
      </c>
      <c r="H51" s="2">
        <f t="shared" si="0"/>
        <v>116533.3799</v>
      </c>
      <c r="I51" s="2">
        <f t="shared" si="17"/>
        <v>8470.719000000001</v>
      </c>
      <c r="J51" s="2">
        <f t="shared" si="17"/>
        <v>189.67699999999999</v>
      </c>
      <c r="K51" s="2">
        <f>'April 2022 '!K51+'May 2022'!J51</f>
        <v>236.43199999999999</v>
      </c>
      <c r="L51" s="2">
        <f t="shared" si="17"/>
        <v>0.08</v>
      </c>
      <c r="M51" s="2">
        <f>'April 2022 '!M51+'May 2022'!L51</f>
        <v>6.81</v>
      </c>
      <c r="N51" s="2">
        <f t="shared" si="1"/>
        <v>8660.3160000000007</v>
      </c>
      <c r="O51" s="2">
        <f t="shared" si="17"/>
        <v>949.29000000000019</v>
      </c>
      <c r="P51" s="2">
        <f t="shared" si="17"/>
        <v>93.1</v>
      </c>
      <c r="Q51" s="2">
        <f>'April 2022 '!Q51+'May 2022'!P51</f>
        <v>128.57999999999998</v>
      </c>
      <c r="R51" s="2">
        <f t="shared" si="17"/>
        <v>0</v>
      </c>
      <c r="S51" s="2">
        <f>'April 2022 '!S51+'May 2022'!R51</f>
        <v>27.67</v>
      </c>
      <c r="T51" s="2">
        <f t="shared" si="2"/>
        <v>1042.3900000000001</v>
      </c>
      <c r="U51" s="2">
        <f t="shared" si="3"/>
        <v>126236.08590000001</v>
      </c>
    </row>
    <row r="52" spans="1:21" s="7" customFormat="1" ht="28.5" customHeight="1">
      <c r="A52" s="18"/>
      <c r="B52" s="2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59"/>
      <c r="J53" s="59">
        <f>D51+J51+P51-F51-L51-R51</f>
        <v>683.5569999999999</v>
      </c>
      <c r="K53" s="59"/>
      <c r="L53" s="59"/>
      <c r="M53" s="59"/>
      <c r="N53" s="59"/>
      <c r="R53" s="59"/>
      <c r="U53" s="59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59"/>
      <c r="J54" s="59">
        <f>E51+K51+Q51-G51-M51-S51</f>
        <v>1451.422</v>
      </c>
      <c r="K54" s="59"/>
      <c r="L54" s="59"/>
      <c r="M54" s="59"/>
      <c r="N54" s="59"/>
      <c r="R54" s="59"/>
      <c r="T54" s="59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126236.08590000001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59"/>
      <c r="E56" s="59"/>
      <c r="F56" s="59"/>
      <c r="G56" s="59"/>
      <c r="H56" s="4"/>
      <c r="I56" s="19"/>
      <c r="J56" s="59"/>
      <c r="K56" s="4"/>
      <c r="L56" s="4"/>
      <c r="M56" s="4"/>
      <c r="N56" s="11">
        <f>'[1]sep 2020 '!J56+'May 2022'!J53</f>
        <v>117434.46789999999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2021'!J55+'May 2022'!J53</f>
        <v>120900.0759</v>
      </c>
      <c r="N57" s="7"/>
      <c r="O57" s="3"/>
      <c r="P57" s="58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60"/>
      <c r="L58" s="10"/>
      <c r="M58" s="7"/>
      <c r="N58" s="29">
        <f>'[2]July 2021'!J55+'May 2022'!J53</f>
        <v>121688.82689999999</v>
      </c>
      <c r="O58" s="29">
        <f>'[2]April 2021'!J55+'May 2022'!J53</f>
        <v>120900.0759</v>
      </c>
      <c r="P58" s="58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2021'!J55+'May 2022'!J53</f>
        <v>120379.26489999999</v>
      </c>
      <c r="J59" s="143" t="s">
        <v>63</v>
      </c>
      <c r="K59" s="143"/>
      <c r="L59" s="143"/>
      <c r="M59" s="11" t="e">
        <f>#REF!+'May 2022'!J53</f>
        <v>#REF!</v>
      </c>
      <c r="N59" s="4"/>
    </row>
    <row r="60" spans="1:21" ht="37.5" customHeight="1">
      <c r="G60" s="4"/>
      <c r="H60" s="11">
        <f>H51+N51+T51</f>
        <v>126236.08590000001</v>
      </c>
      <c r="J60" s="143" t="s">
        <v>64</v>
      </c>
      <c r="K60" s="143"/>
      <c r="L60" s="143"/>
      <c r="M60" s="11" t="e">
        <f>#REF!+'May 2022'!J53</f>
        <v>#REF!</v>
      </c>
    </row>
    <row r="61" spans="1:21">
      <c r="H61" s="23"/>
    </row>
    <row r="62" spans="1:21">
      <c r="G62" s="4"/>
      <c r="H62" s="11">
        <f>'[1]nov 2020'!J56+'May 2022'!J53</f>
        <v>119298.40789999999</v>
      </c>
      <c r="I62" s="24"/>
      <c r="J62" s="23"/>
    </row>
    <row r="63" spans="1:21">
      <c r="H63" s="11">
        <f>'[1]nov 2020'!J56+'May 2022'!J53</f>
        <v>119298.40789999999</v>
      </c>
      <c r="I63" s="30">
        <f>'[2]June 2021)'!J55+'May 2022'!J53</f>
        <v>121360.05590000001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zoomScale="51" zoomScaleNormal="51" workbookViewId="0">
      <pane ySplit="6" topLeftCell="A46" activePane="bottomLeft" state="frozen"/>
      <selection pane="bottomLeft" activeCell="E6" sqref="E6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69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66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65" t="s">
        <v>11</v>
      </c>
      <c r="E6" s="65" t="s">
        <v>12</v>
      </c>
      <c r="F6" s="65" t="s">
        <v>11</v>
      </c>
      <c r="G6" s="65" t="s">
        <v>12</v>
      </c>
      <c r="H6" s="135"/>
      <c r="I6" s="138"/>
      <c r="J6" s="65" t="s">
        <v>11</v>
      </c>
      <c r="K6" s="65" t="s">
        <v>12</v>
      </c>
      <c r="L6" s="65" t="s">
        <v>11</v>
      </c>
      <c r="M6" s="65" t="s">
        <v>12</v>
      </c>
      <c r="N6" s="135"/>
      <c r="O6" s="138"/>
      <c r="P6" s="65" t="s">
        <v>11</v>
      </c>
      <c r="Q6" s="65" t="s">
        <v>12</v>
      </c>
      <c r="R6" s="65" t="s">
        <v>11</v>
      </c>
      <c r="S6" s="65" t="s">
        <v>12</v>
      </c>
      <c r="T6" s="135"/>
      <c r="U6" s="135"/>
    </row>
    <row r="7" spans="1:21" ht="38.25" customHeight="1">
      <c r="A7" s="66">
        <v>1</v>
      </c>
      <c r="B7" s="68" t="s">
        <v>13</v>
      </c>
      <c r="C7" s="1">
        <f>'May 2022'!H7</f>
        <v>90.039999999999978</v>
      </c>
      <c r="D7" s="1">
        <v>0</v>
      </c>
      <c r="E7" s="1">
        <f>'May 2022'!E7+'June 2022'!D7</f>
        <v>0</v>
      </c>
      <c r="F7" s="1">
        <v>0</v>
      </c>
      <c r="G7" s="1">
        <f>'May 2022'!G7+'June 2022'!F7</f>
        <v>0</v>
      </c>
      <c r="H7" s="1">
        <f>C7+D7-F7</f>
        <v>90.039999999999978</v>
      </c>
      <c r="I7" s="1">
        <f>'May 2022'!N7</f>
        <v>587.53899999999987</v>
      </c>
      <c r="J7" s="1">
        <v>2.907</v>
      </c>
      <c r="K7" s="1">
        <f>'May 2022'!K7+'June 2022'!J7</f>
        <v>6.2290000000000001</v>
      </c>
      <c r="L7" s="1">
        <v>0</v>
      </c>
      <c r="M7" s="1">
        <f>'May 2022'!M7+'June 2022'!L7</f>
        <v>0</v>
      </c>
      <c r="N7" s="1">
        <f>I7+J7-L7</f>
        <v>590.44599999999991</v>
      </c>
      <c r="O7" s="1">
        <f>'May 2022'!T7</f>
        <v>8.436000000000007</v>
      </c>
      <c r="P7" s="1">
        <v>0</v>
      </c>
      <c r="Q7" s="1">
        <f>'May 2022'!Q7+'June 2022'!P7</f>
        <v>0</v>
      </c>
      <c r="R7" s="1">
        <v>0</v>
      </c>
      <c r="S7" s="1">
        <f>'May 2022'!S7+'June 2022'!R7</f>
        <v>1.01</v>
      </c>
      <c r="T7" s="1">
        <f>O7+P7-R7</f>
        <v>8.436000000000007</v>
      </c>
      <c r="U7" s="1">
        <f>H7+N7+T7</f>
        <v>688.92199999999991</v>
      </c>
    </row>
    <row r="8" spans="1:21" ht="38.25" customHeight="1">
      <c r="A8" s="66">
        <v>2</v>
      </c>
      <c r="B8" s="68" t="s">
        <v>14</v>
      </c>
      <c r="C8" s="1">
        <f>'May 2022'!H8</f>
        <v>265.39</v>
      </c>
      <c r="D8" s="1">
        <v>0</v>
      </c>
      <c r="E8" s="1">
        <f>'May 2022'!E8+'June 2022'!D8</f>
        <v>0</v>
      </c>
      <c r="F8" s="1">
        <v>0</v>
      </c>
      <c r="G8" s="1">
        <f>'May 2022'!G8+'June 2022'!F8</f>
        <v>0</v>
      </c>
      <c r="H8" s="1">
        <f t="shared" ref="H8:H48" si="0">C8+D8-F8</f>
        <v>265.39</v>
      </c>
      <c r="I8" s="1">
        <f>'May 2022'!N8</f>
        <v>314.875</v>
      </c>
      <c r="J8" s="1">
        <v>11.23</v>
      </c>
      <c r="K8" s="1">
        <f>'May 2022'!K8+'June 2022'!J8</f>
        <v>14.125</v>
      </c>
      <c r="L8" s="1">
        <v>0</v>
      </c>
      <c r="M8" s="1">
        <f>'May 2022'!M8+'June 2022'!L8</f>
        <v>0</v>
      </c>
      <c r="N8" s="1">
        <f t="shared" ref="N8:N48" si="1">I8+J8-L8</f>
        <v>326.10500000000002</v>
      </c>
      <c r="O8" s="1">
        <f>'May 2022'!T8</f>
        <v>66.290000000000006</v>
      </c>
      <c r="P8" s="1">
        <v>0</v>
      </c>
      <c r="Q8" s="1">
        <f>'May 2022'!Q8+'June 2022'!P8</f>
        <v>0</v>
      </c>
      <c r="R8" s="1">
        <v>0</v>
      </c>
      <c r="S8" s="1">
        <f>'May 2022'!S8+'June 2022'!R8</f>
        <v>0</v>
      </c>
      <c r="T8" s="1">
        <f t="shared" ref="T8:T48" si="2">O8+P8-R8</f>
        <v>66.290000000000006</v>
      </c>
      <c r="U8" s="1">
        <f t="shared" ref="U8:U48" si="3">H8+N8+T8</f>
        <v>657.78499999999997</v>
      </c>
    </row>
    <row r="9" spans="1:21" ht="38.25" customHeight="1">
      <c r="A9" s="66">
        <v>3</v>
      </c>
      <c r="B9" s="68" t="s">
        <v>15</v>
      </c>
      <c r="C9" s="1">
        <f>'May 2022'!H9</f>
        <v>209.16</v>
      </c>
      <c r="D9" s="1">
        <v>0</v>
      </c>
      <c r="E9" s="1">
        <f>'May 2022'!E9+'June 2022'!D9</f>
        <v>0</v>
      </c>
      <c r="F9" s="1">
        <v>0</v>
      </c>
      <c r="G9" s="1">
        <f>'May 2022'!G9+'June 2022'!F9</f>
        <v>0</v>
      </c>
      <c r="H9" s="1">
        <f t="shared" si="0"/>
        <v>209.16</v>
      </c>
      <c r="I9" s="1">
        <f>'May 2022'!N9</f>
        <v>740.84800000000007</v>
      </c>
      <c r="J9" s="1">
        <v>1.58</v>
      </c>
      <c r="K9" s="1">
        <f>'May 2022'!K9+'June 2022'!J9</f>
        <v>41.399999999999991</v>
      </c>
      <c r="L9" s="1">
        <v>0</v>
      </c>
      <c r="M9" s="1">
        <f>'May 2022'!M9+'June 2022'!L9</f>
        <v>0</v>
      </c>
      <c r="N9" s="1">
        <f t="shared" si="1"/>
        <v>742.42800000000011</v>
      </c>
      <c r="O9" s="1">
        <f>'May 2022'!T9</f>
        <v>44.739999999999995</v>
      </c>
      <c r="P9" s="1">
        <v>0</v>
      </c>
      <c r="Q9" s="1">
        <f>'May 2022'!Q9+'June 2022'!P9</f>
        <v>0</v>
      </c>
      <c r="R9" s="1">
        <v>0</v>
      </c>
      <c r="S9" s="1">
        <f>'May 2022'!S9+'June 2022'!R9</f>
        <v>0</v>
      </c>
      <c r="T9" s="1">
        <f t="shared" si="2"/>
        <v>44.739999999999995</v>
      </c>
      <c r="U9" s="1">
        <f t="shared" si="3"/>
        <v>996.32800000000009</v>
      </c>
    </row>
    <row r="10" spans="1:21" s="7" customFormat="1" ht="38.25" customHeight="1">
      <c r="A10" s="66">
        <v>4</v>
      </c>
      <c r="B10" s="68" t="s">
        <v>16</v>
      </c>
      <c r="C10" s="1">
        <f>'May 2022'!H10</f>
        <v>0</v>
      </c>
      <c r="D10" s="1">
        <v>0</v>
      </c>
      <c r="E10" s="1">
        <f>'May 2022'!E10+'June 2022'!D10</f>
        <v>0</v>
      </c>
      <c r="F10" s="1">
        <v>0</v>
      </c>
      <c r="G10" s="1">
        <f>'May 2022'!G10+'June 2022'!F10</f>
        <v>0</v>
      </c>
      <c r="H10" s="1">
        <f t="shared" si="0"/>
        <v>0</v>
      </c>
      <c r="I10" s="1">
        <f>'May 2022'!N10</f>
        <v>344.49999999999994</v>
      </c>
      <c r="J10" s="1">
        <v>2.59</v>
      </c>
      <c r="K10" s="1">
        <f>'May 2022'!K10+'June 2022'!J10</f>
        <v>4.7149999999999999</v>
      </c>
      <c r="L10" s="1">
        <v>0</v>
      </c>
      <c r="M10" s="1">
        <f>'May 2022'!M10+'June 2022'!L10</f>
        <v>0</v>
      </c>
      <c r="N10" s="1">
        <f t="shared" si="1"/>
        <v>347.08999999999992</v>
      </c>
      <c r="O10" s="1">
        <f>'May 2022'!T10</f>
        <v>0.20000000000000007</v>
      </c>
      <c r="P10" s="1">
        <v>0</v>
      </c>
      <c r="Q10" s="1">
        <f>'May 2022'!Q10+'June 2022'!P10</f>
        <v>0</v>
      </c>
      <c r="R10" s="1">
        <v>0</v>
      </c>
      <c r="S10" s="1">
        <f>'May 2022'!S10+'June 2022'!R10</f>
        <v>0</v>
      </c>
      <c r="T10" s="1">
        <f t="shared" si="2"/>
        <v>0.20000000000000007</v>
      </c>
      <c r="U10" s="1">
        <f t="shared" si="3"/>
        <v>347.28999999999991</v>
      </c>
    </row>
    <row r="11" spans="1:21" s="7" customFormat="1" ht="38.25" customHeight="1">
      <c r="A11" s="65"/>
      <c r="B11" s="67" t="s">
        <v>17</v>
      </c>
      <c r="C11" s="2">
        <f>SUM(C7:C10)</f>
        <v>564.58999999999992</v>
      </c>
      <c r="D11" s="2">
        <f t="shared" ref="D11:U11" si="4">SUM(D7:D10)</f>
        <v>0</v>
      </c>
      <c r="E11" s="2">
        <f t="shared" si="4"/>
        <v>0</v>
      </c>
      <c r="F11" s="2">
        <f t="shared" si="4"/>
        <v>0</v>
      </c>
      <c r="G11" s="2">
        <f t="shared" si="4"/>
        <v>0</v>
      </c>
      <c r="H11" s="2">
        <f t="shared" si="4"/>
        <v>564.58999999999992</v>
      </c>
      <c r="I11" s="2">
        <f t="shared" si="4"/>
        <v>1987.7619999999999</v>
      </c>
      <c r="J11" s="2">
        <f t="shared" si="4"/>
        <v>18.307000000000002</v>
      </c>
      <c r="K11" s="2">
        <f t="shared" si="4"/>
        <v>66.468999999999994</v>
      </c>
      <c r="L11" s="2">
        <f t="shared" si="4"/>
        <v>0</v>
      </c>
      <c r="M11" s="2">
        <f t="shared" si="4"/>
        <v>0</v>
      </c>
      <c r="N11" s="2">
        <f t="shared" si="4"/>
        <v>2006.069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2">
        <f t="shared" si="4"/>
        <v>119.66600000000001</v>
      </c>
      <c r="U11" s="2">
        <f t="shared" si="4"/>
        <v>2690.3249999999998</v>
      </c>
    </row>
    <row r="12" spans="1:21" ht="38.25" customHeight="1">
      <c r="A12" s="66">
        <v>5</v>
      </c>
      <c r="B12" s="68" t="s">
        <v>18</v>
      </c>
      <c r="C12" s="1">
        <f>'May 2022'!H12</f>
        <v>355.3099999999996</v>
      </c>
      <c r="D12" s="1">
        <v>0</v>
      </c>
      <c r="E12" s="1">
        <f>'May 2022'!E12+'June 2022'!D12</f>
        <v>0</v>
      </c>
      <c r="F12" s="1">
        <v>0</v>
      </c>
      <c r="G12" s="1">
        <f>'May 2022'!G12+'June 2022'!F12</f>
        <v>0</v>
      </c>
      <c r="H12" s="1">
        <f t="shared" si="0"/>
        <v>355.3099999999996</v>
      </c>
      <c r="I12" s="1">
        <f>'May 2022'!N12</f>
        <v>851.06499999999994</v>
      </c>
      <c r="J12" s="31">
        <v>0.66</v>
      </c>
      <c r="K12" s="1">
        <f>'May 2022'!K12+'June 2022'!J12</f>
        <v>47.019999999999996</v>
      </c>
      <c r="L12" s="1">
        <v>0</v>
      </c>
      <c r="M12" s="1">
        <f>'May 2022'!M12+'June 2022'!L12</f>
        <v>0</v>
      </c>
      <c r="N12" s="1">
        <f t="shared" si="1"/>
        <v>851.72499999999991</v>
      </c>
      <c r="O12" s="1">
        <f>'May 2022'!T12</f>
        <v>36.850000000000009</v>
      </c>
      <c r="P12" s="1">
        <v>0</v>
      </c>
      <c r="Q12" s="1">
        <f>'May 2022'!Q12+'June 2022'!P12</f>
        <v>0</v>
      </c>
      <c r="R12" s="1">
        <v>0</v>
      </c>
      <c r="S12" s="1">
        <f>'May 2022'!S12+'June 2022'!R12</f>
        <v>0</v>
      </c>
      <c r="T12" s="1">
        <f t="shared" si="2"/>
        <v>36.850000000000009</v>
      </c>
      <c r="U12" s="1">
        <f t="shared" si="3"/>
        <v>1243.8849999999993</v>
      </c>
    </row>
    <row r="13" spans="1:21" ht="38.25" customHeight="1">
      <c r="A13" s="66">
        <v>6</v>
      </c>
      <c r="B13" s="68" t="s">
        <v>19</v>
      </c>
      <c r="C13" s="1">
        <f>'May 2022'!H13</f>
        <v>312.23000000000013</v>
      </c>
      <c r="D13" s="1">
        <v>0</v>
      </c>
      <c r="E13" s="1">
        <f>'May 2022'!E13+'June 2022'!D13</f>
        <v>0</v>
      </c>
      <c r="F13" s="1">
        <v>0</v>
      </c>
      <c r="G13" s="1">
        <f>'May 2022'!G13+'June 2022'!F13</f>
        <v>0</v>
      </c>
      <c r="H13" s="1">
        <f t="shared" si="0"/>
        <v>312.23000000000013</v>
      </c>
      <c r="I13" s="1">
        <f>'May 2022'!N13</f>
        <v>530.94200000000023</v>
      </c>
      <c r="J13" s="31">
        <v>0.7</v>
      </c>
      <c r="K13" s="1">
        <f>'May 2022'!K13+'June 2022'!J13</f>
        <v>3.1100000000000003</v>
      </c>
      <c r="L13" s="1">
        <v>0</v>
      </c>
      <c r="M13" s="1">
        <f>'May 2022'!M13+'June 2022'!L13</f>
        <v>0</v>
      </c>
      <c r="N13" s="1">
        <f t="shared" si="1"/>
        <v>531.64200000000028</v>
      </c>
      <c r="O13" s="1">
        <f>'May 2022'!T13</f>
        <v>68.39</v>
      </c>
      <c r="P13" s="1">
        <v>0</v>
      </c>
      <c r="Q13" s="1">
        <f>'May 2022'!Q13+'June 2022'!P13</f>
        <v>0</v>
      </c>
      <c r="R13" s="1">
        <v>0</v>
      </c>
      <c r="S13" s="1">
        <f>'May 2022'!S13+'June 2022'!R13</f>
        <v>0</v>
      </c>
      <c r="T13" s="1">
        <f t="shared" si="2"/>
        <v>68.39</v>
      </c>
      <c r="U13" s="1">
        <f t="shared" si="3"/>
        <v>912.2620000000004</v>
      </c>
    </row>
    <row r="14" spans="1:21" s="7" customFormat="1" ht="38.25" customHeight="1">
      <c r="A14" s="66">
        <v>7</v>
      </c>
      <c r="B14" s="68" t="s">
        <v>20</v>
      </c>
      <c r="C14" s="1">
        <f>'May 2022'!H14</f>
        <v>1216.4399999999994</v>
      </c>
      <c r="D14" s="1">
        <v>0</v>
      </c>
      <c r="E14" s="1">
        <f>'May 2022'!E14+'June 2022'!D14</f>
        <v>0</v>
      </c>
      <c r="F14" s="1">
        <v>0</v>
      </c>
      <c r="G14" s="1">
        <f>'May 2022'!G14+'June 2022'!F14</f>
        <v>0</v>
      </c>
      <c r="H14" s="1">
        <f t="shared" si="0"/>
        <v>1216.4399999999994</v>
      </c>
      <c r="I14" s="1">
        <f>'May 2022'!N14</f>
        <v>872.34800000000018</v>
      </c>
      <c r="J14" s="31">
        <v>1.95</v>
      </c>
      <c r="K14" s="1">
        <f>'May 2022'!K14+'June 2022'!J14</f>
        <v>9.51</v>
      </c>
      <c r="L14" s="1">
        <v>0</v>
      </c>
      <c r="M14" s="1">
        <f>'May 2022'!M14+'June 2022'!L14</f>
        <v>0</v>
      </c>
      <c r="N14" s="1">
        <f t="shared" si="1"/>
        <v>874.29800000000023</v>
      </c>
      <c r="O14" s="1">
        <f>'May 2022'!T14</f>
        <v>61.329999999999991</v>
      </c>
      <c r="P14" s="1">
        <v>0</v>
      </c>
      <c r="Q14" s="1">
        <f>'May 2022'!Q14+'June 2022'!P14</f>
        <v>0</v>
      </c>
      <c r="R14" s="1">
        <v>0</v>
      </c>
      <c r="S14" s="1">
        <f>'May 2022'!S14+'June 2022'!R14</f>
        <v>0</v>
      </c>
      <c r="T14" s="1">
        <f t="shared" si="2"/>
        <v>61.329999999999991</v>
      </c>
      <c r="U14" s="1">
        <f t="shared" si="3"/>
        <v>2152.0679999999993</v>
      </c>
    </row>
    <row r="15" spans="1:21" s="7" customFormat="1" ht="38.25" customHeight="1">
      <c r="A15" s="65"/>
      <c r="B15" s="67" t="s">
        <v>21</v>
      </c>
      <c r="C15" s="2">
        <f>SUM(C12:C14)</f>
        <v>1883.9799999999991</v>
      </c>
      <c r="D15" s="2">
        <f t="shared" ref="D15:U15" si="5">SUM(D12:D14)</f>
        <v>0</v>
      </c>
      <c r="E15" s="2">
        <f t="shared" si="5"/>
        <v>0</v>
      </c>
      <c r="F15" s="2">
        <f t="shared" si="5"/>
        <v>0</v>
      </c>
      <c r="G15" s="2">
        <f t="shared" si="5"/>
        <v>0</v>
      </c>
      <c r="H15" s="2">
        <f t="shared" si="5"/>
        <v>1883.9799999999991</v>
      </c>
      <c r="I15" s="2">
        <f t="shared" si="5"/>
        <v>2254.3550000000005</v>
      </c>
      <c r="J15" s="2">
        <f t="shared" si="5"/>
        <v>3.3099999999999996</v>
      </c>
      <c r="K15" s="2">
        <f t="shared" si="5"/>
        <v>59.639999999999993</v>
      </c>
      <c r="L15" s="2">
        <f t="shared" si="5"/>
        <v>0</v>
      </c>
      <c r="M15" s="2">
        <f t="shared" si="5"/>
        <v>0</v>
      </c>
      <c r="N15" s="2">
        <f t="shared" si="5"/>
        <v>2257.6650000000004</v>
      </c>
      <c r="O15" s="2">
        <f t="shared" si="5"/>
        <v>166.57</v>
      </c>
      <c r="P15" s="2">
        <f t="shared" si="5"/>
        <v>0</v>
      </c>
      <c r="Q15" s="2">
        <f t="shared" si="5"/>
        <v>0</v>
      </c>
      <c r="R15" s="2">
        <f t="shared" si="5"/>
        <v>0</v>
      </c>
      <c r="S15" s="2">
        <f t="shared" si="5"/>
        <v>0</v>
      </c>
      <c r="T15" s="2">
        <f t="shared" si="5"/>
        <v>166.57</v>
      </c>
      <c r="U15" s="2">
        <f t="shared" si="5"/>
        <v>4308.2149999999992</v>
      </c>
    </row>
    <row r="16" spans="1:21" s="16" customFormat="1" ht="38.25" customHeight="1">
      <c r="A16" s="66">
        <v>8</v>
      </c>
      <c r="B16" s="68" t="s">
        <v>22</v>
      </c>
      <c r="C16" s="1">
        <f>'May 2022'!H16</f>
        <v>994.39400000000035</v>
      </c>
      <c r="D16" s="1">
        <v>0.66</v>
      </c>
      <c r="E16" s="1">
        <f>'May 2022'!E16+'June 2022'!D16</f>
        <v>1.21</v>
      </c>
      <c r="F16" s="1">
        <v>7.75</v>
      </c>
      <c r="G16" s="1">
        <f>'May 2022'!G16+'June 2022'!F16</f>
        <v>7.75</v>
      </c>
      <c r="H16" s="1">
        <f t="shared" si="0"/>
        <v>987.30400000000031</v>
      </c>
      <c r="I16" s="1">
        <f>'May 2022'!N16</f>
        <v>326.92599999999999</v>
      </c>
      <c r="J16" s="1">
        <f>2.57+22.27</f>
        <v>24.84</v>
      </c>
      <c r="K16" s="1">
        <f>'May 2022'!K16+'June 2022'!J16</f>
        <v>52.72</v>
      </c>
      <c r="L16" s="1">
        <v>0</v>
      </c>
      <c r="M16" s="1">
        <f>'May 2022'!M16+'June 2022'!L16</f>
        <v>0</v>
      </c>
      <c r="N16" s="1">
        <f t="shared" si="1"/>
        <v>351.76599999999996</v>
      </c>
      <c r="O16" s="1">
        <f>'May 2022'!T16</f>
        <v>177.41200000000003</v>
      </c>
      <c r="P16" s="1">
        <v>0</v>
      </c>
      <c r="Q16" s="1">
        <f>'May 2022'!Q16+'June 2022'!P16</f>
        <v>0</v>
      </c>
      <c r="R16" s="1">
        <v>0</v>
      </c>
      <c r="S16" s="1">
        <f>'May 2022'!S16+'June 2022'!R16</f>
        <v>0</v>
      </c>
      <c r="T16" s="1">
        <f t="shared" si="2"/>
        <v>177.41200000000003</v>
      </c>
      <c r="U16" s="1">
        <f t="shared" si="3"/>
        <v>1516.4820000000002</v>
      </c>
    </row>
    <row r="17" spans="1:23" ht="61.5" customHeight="1">
      <c r="A17" s="17">
        <v>9</v>
      </c>
      <c r="B17" s="26" t="s">
        <v>23</v>
      </c>
      <c r="C17" s="1">
        <f>'May 2022'!H17</f>
        <v>6.415999999999948</v>
      </c>
      <c r="D17" s="1">
        <v>0</v>
      </c>
      <c r="E17" s="1">
        <f>'May 2022'!E17+'June 2022'!D17</f>
        <v>0</v>
      </c>
      <c r="F17" s="1">
        <v>3.74</v>
      </c>
      <c r="G17" s="1">
        <f>'May 2022'!G17+'June 2022'!F17</f>
        <v>3.74</v>
      </c>
      <c r="H17" s="1">
        <f t="shared" si="0"/>
        <v>2.6759999999999478</v>
      </c>
      <c r="I17" s="1">
        <f>'May 2022'!N17</f>
        <v>522.74000000000012</v>
      </c>
      <c r="J17" s="1">
        <f>16.68+22.67</f>
        <v>39.35</v>
      </c>
      <c r="K17" s="1">
        <f>'May 2022'!K17+'June 2022'!J17</f>
        <v>50.34</v>
      </c>
      <c r="L17" s="1">
        <v>0</v>
      </c>
      <c r="M17" s="1">
        <f>'May 2022'!M17+'June 2022'!L17</f>
        <v>0</v>
      </c>
      <c r="N17" s="1">
        <f t="shared" si="1"/>
        <v>562.09000000000015</v>
      </c>
      <c r="O17" s="1">
        <f>'May 2022'!T17</f>
        <v>6.33</v>
      </c>
      <c r="P17" s="1">
        <v>0.61</v>
      </c>
      <c r="Q17" s="1">
        <f>'May 2022'!Q17+'June 2022'!P17</f>
        <v>0.61</v>
      </c>
      <c r="R17" s="1">
        <v>5.7</v>
      </c>
      <c r="S17" s="1">
        <f>'May 2022'!S17+'June 2022'!R17</f>
        <v>5.7</v>
      </c>
      <c r="T17" s="1">
        <f t="shared" si="2"/>
        <v>1.2400000000000002</v>
      </c>
      <c r="U17" s="1">
        <f t="shared" si="3"/>
        <v>566.00600000000009</v>
      </c>
    </row>
    <row r="18" spans="1:23" s="7" customFormat="1" ht="38.25" customHeight="1">
      <c r="A18" s="66">
        <v>10</v>
      </c>
      <c r="B18" s="68" t="s">
        <v>24</v>
      </c>
      <c r="C18" s="1">
        <f>'May 2022'!H18+59.79</f>
        <v>136.0160000000001</v>
      </c>
      <c r="D18" s="1">
        <v>0</v>
      </c>
      <c r="E18" s="1">
        <f>'May 2022'!E18+'June 2022'!D18</f>
        <v>0.24</v>
      </c>
      <c r="F18" s="1">
        <v>0</v>
      </c>
      <c r="G18" s="1">
        <f>'May 2022'!G18+'June 2022'!F18</f>
        <v>0</v>
      </c>
      <c r="H18" s="1">
        <f t="shared" si="0"/>
        <v>136.0160000000001</v>
      </c>
      <c r="I18" s="1">
        <f>'May 2022'!N18</f>
        <v>486.60699999999997</v>
      </c>
      <c r="J18" s="1">
        <v>1.65</v>
      </c>
      <c r="K18" s="1">
        <f>'May 2022'!K18+'June 2022'!J18</f>
        <v>2.7199999999999998</v>
      </c>
      <c r="L18" s="1">
        <v>0</v>
      </c>
      <c r="M18" s="1">
        <f>'May 2022'!M18+'June 2022'!L18</f>
        <v>0</v>
      </c>
      <c r="N18" s="1">
        <f t="shared" si="1"/>
        <v>488.25699999999995</v>
      </c>
      <c r="O18" s="1">
        <f>'May 2022'!T18</f>
        <v>38.869999999999997</v>
      </c>
      <c r="P18" s="1">
        <v>0</v>
      </c>
      <c r="Q18" s="1">
        <f>'May 2022'!Q18+'June 2022'!P18</f>
        <v>0</v>
      </c>
      <c r="R18" s="1">
        <v>0</v>
      </c>
      <c r="S18" s="1">
        <f>'May 2022'!S18+'June 2022'!R18</f>
        <v>0</v>
      </c>
      <c r="T18" s="1">
        <f t="shared" si="2"/>
        <v>38.869999999999997</v>
      </c>
      <c r="U18" s="1">
        <f t="shared" si="3"/>
        <v>663.14300000000003</v>
      </c>
    </row>
    <row r="19" spans="1:23" s="7" customFormat="1" ht="38.25" customHeight="1">
      <c r="A19" s="65"/>
      <c r="B19" s="67" t="s">
        <v>25</v>
      </c>
      <c r="C19" s="2">
        <f>SUM(C16:C18)</f>
        <v>1136.8260000000005</v>
      </c>
      <c r="D19" s="2">
        <f t="shared" ref="D19:U19" si="6">SUM(D16:D18)</f>
        <v>0.66</v>
      </c>
      <c r="E19" s="2">
        <f t="shared" si="6"/>
        <v>1.45</v>
      </c>
      <c r="F19" s="2">
        <f t="shared" si="6"/>
        <v>11.49</v>
      </c>
      <c r="G19" s="2">
        <f t="shared" si="6"/>
        <v>11.49</v>
      </c>
      <c r="H19" s="2">
        <f t="shared" si="6"/>
        <v>1125.9960000000003</v>
      </c>
      <c r="I19" s="2">
        <f t="shared" si="6"/>
        <v>1336.2730000000001</v>
      </c>
      <c r="J19" s="2">
        <f t="shared" si="6"/>
        <v>65.84</v>
      </c>
      <c r="K19" s="2">
        <f t="shared" si="6"/>
        <v>105.78</v>
      </c>
      <c r="L19" s="2">
        <f t="shared" si="6"/>
        <v>0</v>
      </c>
      <c r="M19" s="2">
        <f t="shared" si="6"/>
        <v>0</v>
      </c>
      <c r="N19" s="2">
        <f t="shared" si="6"/>
        <v>1402.1130000000001</v>
      </c>
      <c r="O19" s="2">
        <f t="shared" si="6"/>
        <v>222.61200000000005</v>
      </c>
      <c r="P19" s="2">
        <f t="shared" si="6"/>
        <v>0.61</v>
      </c>
      <c r="Q19" s="2">
        <f t="shared" si="6"/>
        <v>0.61</v>
      </c>
      <c r="R19" s="2">
        <f t="shared" si="6"/>
        <v>5.7</v>
      </c>
      <c r="S19" s="2">
        <f t="shared" si="6"/>
        <v>5.7</v>
      </c>
      <c r="T19" s="2">
        <f t="shared" si="6"/>
        <v>217.52200000000005</v>
      </c>
      <c r="U19" s="2">
        <f t="shared" si="6"/>
        <v>2745.6310000000003</v>
      </c>
    </row>
    <row r="20" spans="1:23" ht="38.25" customHeight="1">
      <c r="A20" s="66">
        <v>11</v>
      </c>
      <c r="B20" s="68" t="s">
        <v>26</v>
      </c>
      <c r="C20" s="1">
        <f>'May 2022'!H20</f>
        <v>631.68999999999983</v>
      </c>
      <c r="D20" s="1">
        <v>0.23</v>
      </c>
      <c r="E20" s="1">
        <f>'May 2022'!E20+'June 2022'!D20</f>
        <v>1.35</v>
      </c>
      <c r="F20" s="1">
        <v>24.91</v>
      </c>
      <c r="G20" s="1">
        <f>'May 2022'!G20+'June 2022'!F20</f>
        <v>24.91</v>
      </c>
      <c r="H20" s="1">
        <f t="shared" si="0"/>
        <v>607.00999999999988</v>
      </c>
      <c r="I20" s="1">
        <f>'May 2022'!N20</f>
        <v>402.06800000000015</v>
      </c>
      <c r="J20" s="1">
        <v>317.45</v>
      </c>
      <c r="K20" s="1">
        <f>'May 2022'!K20+'June 2022'!J20</f>
        <v>321.37</v>
      </c>
      <c r="L20" s="1">
        <v>0</v>
      </c>
      <c r="M20" s="1">
        <f>'May 2022'!M20+'June 2022'!L20</f>
        <v>1.04</v>
      </c>
      <c r="N20" s="1">
        <f t="shared" si="1"/>
        <v>719.51800000000014</v>
      </c>
      <c r="O20" s="1">
        <f>'May 2022'!T20</f>
        <v>40.350000000000009</v>
      </c>
      <c r="P20" s="1">
        <v>0</v>
      </c>
      <c r="Q20" s="1">
        <f>'May 2022'!Q20+'June 2022'!P20</f>
        <v>0</v>
      </c>
      <c r="R20" s="1">
        <v>2.77</v>
      </c>
      <c r="S20" s="1">
        <f>'May 2022'!S20+'June 2022'!R20</f>
        <v>2.77</v>
      </c>
      <c r="T20" s="1">
        <f t="shared" si="2"/>
        <v>37.580000000000005</v>
      </c>
      <c r="U20" s="1">
        <f t="shared" si="3"/>
        <v>1364.1079999999999</v>
      </c>
      <c r="W20" s="145"/>
    </row>
    <row r="21" spans="1:23" ht="38.25" customHeight="1">
      <c r="A21" s="66">
        <v>12</v>
      </c>
      <c r="B21" s="68" t="s">
        <v>27</v>
      </c>
      <c r="C21" s="1">
        <f>'May 2022'!H21</f>
        <v>22.51</v>
      </c>
      <c r="D21" s="1">
        <v>0</v>
      </c>
      <c r="E21" s="1">
        <f>'May 2022'!E21+'June 2022'!D21</f>
        <v>0</v>
      </c>
      <c r="F21" s="1">
        <v>0</v>
      </c>
      <c r="G21" s="1">
        <f>'May 2022'!G21+'June 2022'!F21</f>
        <v>0</v>
      </c>
      <c r="H21" s="1">
        <f t="shared" si="0"/>
        <v>22.51</v>
      </c>
      <c r="I21" s="1">
        <f>'May 2022'!N21</f>
        <v>415.74700000000001</v>
      </c>
      <c r="J21" s="1">
        <v>1.19</v>
      </c>
      <c r="K21" s="1">
        <f>'May 2022'!K21+'June 2022'!J21</f>
        <v>18.82</v>
      </c>
      <c r="L21" s="1">
        <v>0</v>
      </c>
      <c r="M21" s="1">
        <f>'May 2022'!M21+'June 2022'!L21</f>
        <v>0</v>
      </c>
      <c r="N21" s="1">
        <f t="shared" si="1"/>
        <v>416.93700000000001</v>
      </c>
      <c r="O21" s="1">
        <f>'May 2022'!T21</f>
        <v>19.369999999999997</v>
      </c>
      <c r="P21" s="1">
        <v>0</v>
      </c>
      <c r="Q21" s="1">
        <f>'May 2022'!Q21+'June 2022'!P21</f>
        <v>0</v>
      </c>
      <c r="R21" s="1">
        <v>0</v>
      </c>
      <c r="S21" s="1">
        <f>'May 2022'!S21+'June 2022'!R21</f>
        <v>0</v>
      </c>
      <c r="T21" s="1">
        <f t="shared" si="2"/>
        <v>19.369999999999997</v>
      </c>
      <c r="U21" s="1">
        <f t="shared" si="3"/>
        <v>458.81700000000001</v>
      </c>
      <c r="W21" s="145"/>
    </row>
    <row r="22" spans="1:23" s="7" customFormat="1" ht="38.25" customHeight="1">
      <c r="A22" s="66">
        <v>13</v>
      </c>
      <c r="B22" s="68" t="s">
        <v>28</v>
      </c>
      <c r="C22" s="1">
        <f>'May 2022'!H22</f>
        <v>22.430000000000021</v>
      </c>
      <c r="D22" s="1">
        <v>0</v>
      </c>
      <c r="E22" s="1">
        <f>'May 2022'!E22+'June 2022'!D22</f>
        <v>0</v>
      </c>
      <c r="F22" s="1">
        <v>0</v>
      </c>
      <c r="G22" s="1">
        <f>'May 2022'!G22+'June 2022'!F22</f>
        <v>0</v>
      </c>
      <c r="H22" s="1">
        <f t="shared" si="0"/>
        <v>22.430000000000021</v>
      </c>
      <c r="I22" s="1">
        <f>'May 2022'!N22</f>
        <v>690.59999999999991</v>
      </c>
      <c r="J22" s="1">
        <v>1.19</v>
      </c>
      <c r="K22" s="1">
        <f>'May 2022'!K22+'June 2022'!J22</f>
        <v>2.9</v>
      </c>
      <c r="L22" s="1">
        <v>0</v>
      </c>
      <c r="M22" s="1">
        <f>'May 2022'!M22+'June 2022'!L22</f>
        <v>0.08</v>
      </c>
      <c r="N22" s="1">
        <f t="shared" si="1"/>
        <v>691.79</v>
      </c>
      <c r="O22" s="1">
        <f>'May 2022'!T22</f>
        <v>0.60000000000000098</v>
      </c>
      <c r="P22" s="1">
        <v>0</v>
      </c>
      <c r="Q22" s="1">
        <f>'May 2022'!Q22+'June 2022'!P22</f>
        <v>0</v>
      </c>
      <c r="R22" s="1">
        <v>0</v>
      </c>
      <c r="S22" s="1">
        <f>'May 2022'!S22+'June 2022'!R22</f>
        <v>0</v>
      </c>
      <c r="T22" s="1">
        <f t="shared" si="2"/>
        <v>0.60000000000000098</v>
      </c>
      <c r="U22" s="1">
        <f t="shared" si="3"/>
        <v>714.82</v>
      </c>
      <c r="W22" s="145"/>
    </row>
    <row r="23" spans="1:23" s="7" customFormat="1" ht="38.25" customHeight="1">
      <c r="A23" s="66">
        <v>14</v>
      </c>
      <c r="B23" s="68" t="s">
        <v>29</v>
      </c>
      <c r="C23" s="1">
        <f>'May 2022'!H23</f>
        <v>430.64</v>
      </c>
      <c r="D23" s="1">
        <v>0</v>
      </c>
      <c r="E23" s="1">
        <f>'May 2022'!E23+'June 2022'!D23</f>
        <v>3.4</v>
      </c>
      <c r="F23" s="1">
        <v>0</v>
      </c>
      <c r="G23" s="1">
        <f>'May 2022'!G23+'June 2022'!F23</f>
        <v>0</v>
      </c>
      <c r="H23" s="1">
        <f t="shared" si="0"/>
        <v>430.64</v>
      </c>
      <c r="I23" s="1">
        <f>'May 2022'!N23</f>
        <v>117.395</v>
      </c>
      <c r="J23" s="1">
        <v>1.47</v>
      </c>
      <c r="K23" s="1">
        <f>'May 2022'!K23+'June 2022'!J23</f>
        <v>16.98</v>
      </c>
      <c r="L23" s="1">
        <v>0</v>
      </c>
      <c r="M23" s="1">
        <f>'May 2022'!M23+'June 2022'!L23</f>
        <v>0</v>
      </c>
      <c r="N23" s="1">
        <f t="shared" si="1"/>
        <v>118.86499999999999</v>
      </c>
      <c r="O23" s="1">
        <f>'May 2022'!T23</f>
        <v>22.5</v>
      </c>
      <c r="P23" s="1">
        <v>0</v>
      </c>
      <c r="Q23" s="1">
        <f>'May 2022'!Q23+'June 2022'!P23</f>
        <v>0</v>
      </c>
      <c r="R23" s="1">
        <v>0</v>
      </c>
      <c r="S23" s="1">
        <f>'May 2022'!S23+'June 2022'!R23</f>
        <v>0</v>
      </c>
      <c r="T23" s="1">
        <f t="shared" si="2"/>
        <v>22.5</v>
      </c>
      <c r="U23" s="1">
        <f t="shared" si="3"/>
        <v>572.005</v>
      </c>
      <c r="W23" s="145"/>
    </row>
    <row r="24" spans="1:23" s="7" customFormat="1" ht="38.25" customHeight="1">
      <c r="A24" s="65"/>
      <c r="B24" s="67" t="s">
        <v>30</v>
      </c>
      <c r="C24" s="2">
        <f>SUM(C20:C23)</f>
        <v>1107.27</v>
      </c>
      <c r="D24" s="2">
        <f t="shared" ref="D24:U24" si="7">SUM(D20:D23)</f>
        <v>0.23</v>
      </c>
      <c r="E24" s="2">
        <f t="shared" si="7"/>
        <v>4.75</v>
      </c>
      <c r="F24" s="2">
        <f t="shared" si="7"/>
        <v>24.91</v>
      </c>
      <c r="G24" s="2">
        <f t="shared" si="7"/>
        <v>24.91</v>
      </c>
      <c r="H24" s="2">
        <f t="shared" si="7"/>
        <v>1082.5899999999999</v>
      </c>
      <c r="I24" s="2">
        <f t="shared" si="7"/>
        <v>1625.81</v>
      </c>
      <c r="J24" s="2">
        <f t="shared" si="7"/>
        <v>321.3</v>
      </c>
      <c r="K24" s="2">
        <f t="shared" si="7"/>
        <v>360.07</v>
      </c>
      <c r="L24" s="2">
        <f t="shared" si="7"/>
        <v>0</v>
      </c>
      <c r="M24" s="2">
        <f t="shared" si="7"/>
        <v>1.1200000000000001</v>
      </c>
      <c r="N24" s="2">
        <f t="shared" si="7"/>
        <v>1947.1100000000001</v>
      </c>
      <c r="O24" s="2">
        <f t="shared" si="7"/>
        <v>82.820000000000007</v>
      </c>
      <c r="P24" s="2">
        <f t="shared" si="7"/>
        <v>0</v>
      </c>
      <c r="Q24" s="2">
        <f t="shared" si="7"/>
        <v>0</v>
      </c>
      <c r="R24" s="2">
        <f t="shared" si="7"/>
        <v>2.77</v>
      </c>
      <c r="S24" s="2">
        <f t="shared" si="7"/>
        <v>2.77</v>
      </c>
      <c r="T24" s="2">
        <f t="shared" si="7"/>
        <v>80.050000000000011</v>
      </c>
      <c r="U24" s="2">
        <f t="shared" si="7"/>
        <v>3109.75</v>
      </c>
    </row>
    <row r="25" spans="1:23" s="7" customFormat="1" ht="38.25" customHeight="1">
      <c r="A25" s="65"/>
      <c r="B25" s="67" t="s">
        <v>31</v>
      </c>
      <c r="C25" s="2">
        <f>C24+C19+C15+C11</f>
        <v>4692.6659999999993</v>
      </c>
      <c r="D25" s="2">
        <f t="shared" ref="D25:U25" si="8">D24+D19+D15+D11</f>
        <v>0.89</v>
      </c>
      <c r="E25" s="2">
        <f t="shared" si="8"/>
        <v>6.2</v>
      </c>
      <c r="F25" s="2">
        <f t="shared" si="8"/>
        <v>36.4</v>
      </c>
      <c r="G25" s="2">
        <f t="shared" si="8"/>
        <v>36.4</v>
      </c>
      <c r="H25" s="2">
        <f t="shared" si="8"/>
        <v>4657.155999999999</v>
      </c>
      <c r="I25" s="2">
        <f t="shared" si="8"/>
        <v>7204.2</v>
      </c>
      <c r="J25" s="2">
        <f t="shared" si="8"/>
        <v>408.75700000000001</v>
      </c>
      <c r="K25" s="2">
        <f t="shared" si="8"/>
        <v>591.95900000000006</v>
      </c>
      <c r="L25" s="2">
        <f t="shared" si="8"/>
        <v>0</v>
      </c>
      <c r="M25" s="2">
        <f t="shared" si="8"/>
        <v>1.1200000000000001</v>
      </c>
      <c r="N25" s="2">
        <f t="shared" si="8"/>
        <v>7612.9570000000003</v>
      </c>
      <c r="O25" s="2">
        <f t="shared" si="8"/>
        <v>591.66800000000012</v>
      </c>
      <c r="P25" s="2">
        <f t="shared" si="8"/>
        <v>0.61</v>
      </c>
      <c r="Q25" s="2">
        <f t="shared" si="8"/>
        <v>0.61</v>
      </c>
      <c r="R25" s="2">
        <f t="shared" si="8"/>
        <v>8.4700000000000006</v>
      </c>
      <c r="S25" s="2">
        <f t="shared" si="8"/>
        <v>9.48</v>
      </c>
      <c r="T25" s="2">
        <f t="shared" si="8"/>
        <v>583.80800000000011</v>
      </c>
      <c r="U25" s="2">
        <f t="shared" si="8"/>
        <v>12853.920999999998</v>
      </c>
    </row>
    <row r="26" spans="1:23" ht="38.25" customHeight="1">
      <c r="A26" s="66">
        <v>15</v>
      </c>
      <c r="B26" s="68" t="s">
        <v>32</v>
      </c>
      <c r="C26" s="1">
        <f>'May 2022'!H26</f>
        <v>1560.8099999999997</v>
      </c>
      <c r="D26" s="1">
        <v>7.51</v>
      </c>
      <c r="E26" s="1">
        <f>'May 2022'!E26+'June 2022'!D26</f>
        <v>15.34</v>
      </c>
      <c r="F26" s="1">
        <v>0</v>
      </c>
      <c r="G26" s="1">
        <f>'May 2022'!G26+'June 2022'!F26</f>
        <v>0</v>
      </c>
      <c r="H26" s="1">
        <f t="shared" si="0"/>
        <v>1568.3199999999997</v>
      </c>
      <c r="I26" s="1">
        <f>'May 2022'!N26</f>
        <v>67.48</v>
      </c>
      <c r="J26" s="1">
        <v>0.05</v>
      </c>
      <c r="K26" s="1">
        <f>'May 2022'!K26+'June 2022'!J26</f>
        <v>0.2</v>
      </c>
      <c r="L26" s="1">
        <v>0</v>
      </c>
      <c r="M26" s="1">
        <f>'May 2022'!M26+'June 2022'!L26</f>
        <v>0</v>
      </c>
      <c r="N26" s="1">
        <f t="shared" si="1"/>
        <v>67.53</v>
      </c>
      <c r="O26" s="1">
        <f>'May 2022'!T26</f>
        <v>16.11</v>
      </c>
      <c r="P26" s="1">
        <v>0</v>
      </c>
      <c r="Q26" s="1">
        <f>'May 2022'!Q26+'June 2022'!P26</f>
        <v>0</v>
      </c>
      <c r="R26" s="1">
        <v>0</v>
      </c>
      <c r="S26" s="1">
        <f>'May 2022'!S26+'June 2022'!R26</f>
        <v>0</v>
      </c>
      <c r="T26" s="1">
        <f t="shared" si="2"/>
        <v>16.11</v>
      </c>
      <c r="U26" s="1">
        <f t="shared" si="3"/>
        <v>1651.9599999999996</v>
      </c>
    </row>
    <row r="27" spans="1:23" s="7" customFormat="1" ht="38.25" customHeight="1">
      <c r="A27" s="66">
        <v>16</v>
      </c>
      <c r="B27" s="68" t="s">
        <v>33</v>
      </c>
      <c r="C27" s="1">
        <f>'May 2022'!H27</f>
        <v>5598.2750000000024</v>
      </c>
      <c r="D27" s="1">
        <v>17.04</v>
      </c>
      <c r="E27" s="1">
        <f>'May 2022'!E27+'June 2022'!D27</f>
        <v>38.61</v>
      </c>
      <c r="F27" s="1">
        <v>0</v>
      </c>
      <c r="G27" s="1">
        <f>'May 2022'!G27+'June 2022'!F27</f>
        <v>0</v>
      </c>
      <c r="H27" s="1">
        <f t="shared" si="0"/>
        <v>5615.3150000000023</v>
      </c>
      <c r="I27" s="1">
        <f>'May 2022'!N27</f>
        <v>597.048</v>
      </c>
      <c r="J27" s="1">
        <v>0.65</v>
      </c>
      <c r="K27" s="1">
        <f>'May 2022'!K27+'June 2022'!J27</f>
        <v>3.5100000000000002</v>
      </c>
      <c r="L27" s="1">
        <v>0</v>
      </c>
      <c r="M27" s="1">
        <f>'May 2022'!M27+'June 2022'!L27</f>
        <v>0</v>
      </c>
      <c r="N27" s="1">
        <f t="shared" si="1"/>
        <v>597.69799999999998</v>
      </c>
      <c r="O27" s="1">
        <f>'May 2022'!T27</f>
        <v>33.49</v>
      </c>
      <c r="P27" s="1">
        <v>0</v>
      </c>
      <c r="Q27" s="1">
        <f>'May 2022'!Q27+'June 2022'!P27</f>
        <v>0</v>
      </c>
      <c r="R27" s="1">
        <v>0</v>
      </c>
      <c r="S27" s="1">
        <f>'May 2022'!S27+'June 2022'!R27</f>
        <v>0</v>
      </c>
      <c r="T27" s="1">
        <f t="shared" si="2"/>
        <v>33.49</v>
      </c>
      <c r="U27" s="1">
        <f t="shared" si="3"/>
        <v>6246.5030000000024</v>
      </c>
    </row>
    <row r="28" spans="1:23" s="7" customFormat="1" ht="38.25" customHeight="1">
      <c r="A28" s="65"/>
      <c r="B28" s="67" t="s">
        <v>34</v>
      </c>
      <c r="C28" s="2">
        <f>SUM(C26:C27)</f>
        <v>7159.0850000000019</v>
      </c>
      <c r="D28" s="2">
        <f t="shared" ref="D28:U28" si="9">SUM(D26:D27)</f>
        <v>24.549999999999997</v>
      </c>
      <c r="E28" s="2">
        <f t="shared" si="9"/>
        <v>53.95</v>
      </c>
      <c r="F28" s="2">
        <f t="shared" si="9"/>
        <v>0</v>
      </c>
      <c r="G28" s="2">
        <f t="shared" si="9"/>
        <v>0</v>
      </c>
      <c r="H28" s="2">
        <f t="shared" si="9"/>
        <v>7183.635000000002</v>
      </c>
      <c r="I28" s="2">
        <f t="shared" si="9"/>
        <v>664.52800000000002</v>
      </c>
      <c r="J28" s="2">
        <f t="shared" si="9"/>
        <v>0.70000000000000007</v>
      </c>
      <c r="K28" s="2">
        <f t="shared" si="9"/>
        <v>3.7100000000000004</v>
      </c>
      <c r="L28" s="2">
        <f t="shared" si="9"/>
        <v>0</v>
      </c>
      <c r="M28" s="2">
        <f t="shared" si="9"/>
        <v>0</v>
      </c>
      <c r="N28" s="2">
        <f t="shared" si="9"/>
        <v>665.22799999999995</v>
      </c>
      <c r="O28" s="2">
        <f t="shared" si="9"/>
        <v>49.6</v>
      </c>
      <c r="P28" s="2">
        <f t="shared" si="9"/>
        <v>0</v>
      </c>
      <c r="Q28" s="2">
        <f t="shared" si="9"/>
        <v>0</v>
      </c>
      <c r="R28" s="2">
        <f t="shared" si="9"/>
        <v>0</v>
      </c>
      <c r="S28" s="2">
        <f t="shared" si="9"/>
        <v>0</v>
      </c>
      <c r="T28" s="2">
        <f t="shared" si="9"/>
        <v>49.6</v>
      </c>
      <c r="U28" s="2">
        <f t="shared" si="9"/>
        <v>7898.4630000000016</v>
      </c>
    </row>
    <row r="29" spans="1:23" ht="38.25" customHeight="1">
      <c r="A29" s="66">
        <v>17</v>
      </c>
      <c r="B29" s="68" t="s">
        <v>35</v>
      </c>
      <c r="C29" s="1">
        <f>'May 2022'!H29+199</f>
        <v>4659.3180000000011</v>
      </c>
      <c r="D29" s="1">
        <v>13.03</v>
      </c>
      <c r="E29" s="1">
        <f>'May 2022'!E29+'June 2022'!D29</f>
        <v>18.88</v>
      </c>
      <c r="F29" s="1">
        <v>0</v>
      </c>
      <c r="G29" s="1">
        <f>'May 2022'!G29+'June 2022'!F29</f>
        <v>0</v>
      </c>
      <c r="H29" s="1">
        <f t="shared" si="0"/>
        <v>4672.3480000000009</v>
      </c>
      <c r="I29" s="1">
        <f>'May 2022'!N29-32.42</f>
        <v>119.39</v>
      </c>
      <c r="J29" s="1">
        <v>0</v>
      </c>
      <c r="K29" s="1">
        <f>'May 2022'!K29+'June 2022'!J29</f>
        <v>0</v>
      </c>
      <c r="L29" s="1">
        <v>0</v>
      </c>
      <c r="M29" s="1">
        <f>'May 2022'!M29+'June 2022'!L29</f>
        <v>0</v>
      </c>
      <c r="N29" s="1">
        <f t="shared" si="1"/>
        <v>119.39</v>
      </c>
      <c r="O29" s="1">
        <f>'May 2022'!T29</f>
        <v>34.52000000000001</v>
      </c>
      <c r="P29" s="1">
        <v>0</v>
      </c>
      <c r="Q29" s="1">
        <f>'May 2022'!Q29+'June 2022'!P29</f>
        <v>0</v>
      </c>
      <c r="R29" s="1">
        <v>0</v>
      </c>
      <c r="S29" s="1">
        <f>'May 2022'!S29+'June 2022'!R29</f>
        <v>23.2</v>
      </c>
      <c r="T29" s="1">
        <f t="shared" si="2"/>
        <v>34.52000000000001</v>
      </c>
      <c r="U29" s="1">
        <f t="shared" si="3"/>
        <v>4826.2580000000016</v>
      </c>
      <c r="W29" s="146"/>
    </row>
    <row r="30" spans="1:23" ht="54.75" customHeight="1">
      <c r="A30" s="66">
        <v>18</v>
      </c>
      <c r="B30" s="68" t="s">
        <v>36</v>
      </c>
      <c r="C30" s="1">
        <f>'May 2022'!H30+36.97</f>
        <v>3633.08</v>
      </c>
      <c r="D30" s="1">
        <v>7.24</v>
      </c>
      <c r="E30" s="1">
        <f>'May 2022'!E30+'June 2022'!D30</f>
        <v>27.980000000000004</v>
      </c>
      <c r="F30" s="1">
        <v>0</v>
      </c>
      <c r="G30" s="1">
        <f>'May 2022'!G30+'June 2022'!F30</f>
        <v>0</v>
      </c>
      <c r="H30" s="1">
        <f t="shared" si="0"/>
        <v>3640.3199999999997</v>
      </c>
      <c r="I30" s="1">
        <f>'May 2022'!N30+32.42+36.47</f>
        <v>110.587</v>
      </c>
      <c r="J30" s="1">
        <v>0</v>
      </c>
      <c r="K30" s="1">
        <f>'May 2022'!K30+'June 2022'!J30</f>
        <v>0</v>
      </c>
      <c r="L30" s="1">
        <v>0</v>
      </c>
      <c r="M30" s="1">
        <f>'May 2022'!M30+'June 2022'!L30</f>
        <v>0</v>
      </c>
      <c r="N30" s="1">
        <f t="shared" si="1"/>
        <v>110.587</v>
      </c>
      <c r="O30" s="1">
        <f>'May 2022'!T30</f>
        <v>23.25</v>
      </c>
      <c r="P30" s="1">
        <v>0</v>
      </c>
      <c r="Q30" s="1">
        <f>'May 2022'!Q30+'June 2022'!P30</f>
        <v>0</v>
      </c>
      <c r="R30" s="1">
        <v>0</v>
      </c>
      <c r="S30" s="1">
        <f>'May 2022'!S30+'June 2022'!R30</f>
        <v>0</v>
      </c>
      <c r="T30" s="1">
        <f t="shared" si="2"/>
        <v>23.25</v>
      </c>
      <c r="U30" s="1">
        <f t="shared" si="3"/>
        <v>3774.1569999999997</v>
      </c>
      <c r="W30" s="146"/>
    </row>
    <row r="31" spans="1:23" s="7" customFormat="1" ht="44.25" customHeight="1">
      <c r="A31" s="66">
        <v>19</v>
      </c>
      <c r="B31" s="68" t="s">
        <v>37</v>
      </c>
      <c r="C31" s="1">
        <f>'May 2022'!H31+75.58</f>
        <v>4677.2390000000005</v>
      </c>
      <c r="D31" s="1">
        <v>1.0900000000000001</v>
      </c>
      <c r="E31" s="1">
        <f>'May 2022'!E31+'June 2022'!D31</f>
        <v>12.75</v>
      </c>
      <c r="F31" s="1">
        <v>0</v>
      </c>
      <c r="G31" s="1">
        <f>'May 2022'!G31+'June 2022'!F31</f>
        <v>0</v>
      </c>
      <c r="H31" s="1">
        <f t="shared" si="0"/>
        <v>4678.3290000000006</v>
      </c>
      <c r="I31" s="1">
        <f>'May 2022'!N31+20.92</f>
        <v>107.63000000000002</v>
      </c>
      <c r="J31" s="1">
        <v>0</v>
      </c>
      <c r="K31" s="1">
        <f>'May 2022'!K31+'June 2022'!J31</f>
        <v>0</v>
      </c>
      <c r="L31" s="1">
        <v>0</v>
      </c>
      <c r="M31" s="1">
        <f>'May 2022'!M31+'June 2022'!L31</f>
        <v>0</v>
      </c>
      <c r="N31" s="1">
        <f t="shared" si="1"/>
        <v>107.63000000000002</v>
      </c>
      <c r="O31" s="1">
        <f>'May 2022'!T31</f>
        <v>14.850000000000001</v>
      </c>
      <c r="P31" s="1">
        <v>0</v>
      </c>
      <c r="Q31" s="1">
        <f>'May 2022'!Q31+'June 2022'!P31</f>
        <v>0</v>
      </c>
      <c r="R31" s="1">
        <v>0</v>
      </c>
      <c r="S31" s="1">
        <f>'May 2022'!S31+'June 2022'!R31</f>
        <v>0</v>
      </c>
      <c r="T31" s="1">
        <f t="shared" si="2"/>
        <v>14.850000000000001</v>
      </c>
      <c r="U31" s="1">
        <f t="shared" si="3"/>
        <v>4800.8090000000011</v>
      </c>
      <c r="W31" s="146"/>
    </row>
    <row r="32" spans="1:23" ht="70.5" customHeight="1">
      <c r="A32" s="66">
        <v>20</v>
      </c>
      <c r="B32" s="68" t="s">
        <v>38</v>
      </c>
      <c r="C32" s="1">
        <f>'May 2022'!H32</f>
        <v>2340.2857999999992</v>
      </c>
      <c r="D32" s="1">
        <v>3.46</v>
      </c>
      <c r="E32" s="1">
        <f>'May 2022'!E32+'June 2022'!D32</f>
        <v>10.61</v>
      </c>
      <c r="F32" s="1">
        <v>0</v>
      </c>
      <c r="G32" s="1">
        <f>'May 2022'!G32+'June 2022'!F32</f>
        <v>9.7200000000000006</v>
      </c>
      <c r="H32" s="1">
        <f t="shared" si="0"/>
        <v>2343.7457999999992</v>
      </c>
      <c r="I32" s="1">
        <f>'May 2022'!N32-36.47-20.92-226.52-25.16</f>
        <v>84.365999999999985</v>
      </c>
      <c r="J32" s="1">
        <v>1.18</v>
      </c>
      <c r="K32" s="1">
        <f>'May 2022'!K32+'June 2022'!J32</f>
        <v>2.7800000000000002</v>
      </c>
      <c r="L32" s="1">
        <v>0</v>
      </c>
      <c r="M32" s="1">
        <f>'May 2022'!M32+'June 2022'!L32</f>
        <v>0</v>
      </c>
      <c r="N32" s="1">
        <f t="shared" si="1"/>
        <v>85.545999999999992</v>
      </c>
      <c r="O32" s="1">
        <f>'May 2022'!T32</f>
        <v>67.551999999999992</v>
      </c>
      <c r="P32" s="1">
        <v>0</v>
      </c>
      <c r="Q32" s="1">
        <f>'May 2022'!Q32+'June 2022'!P32</f>
        <v>0</v>
      </c>
      <c r="R32" s="1">
        <v>0</v>
      </c>
      <c r="S32" s="1">
        <f>'May 2022'!S32+'June 2022'!R32</f>
        <v>0</v>
      </c>
      <c r="T32" s="1">
        <f t="shared" si="2"/>
        <v>67.551999999999992</v>
      </c>
      <c r="U32" s="1">
        <f t="shared" si="3"/>
        <v>2496.8437999999992</v>
      </c>
      <c r="W32" s="146"/>
    </row>
    <row r="33" spans="1:23" s="7" customFormat="1" ht="38.25" customHeight="1">
      <c r="A33" s="65"/>
      <c r="B33" s="67" t="s">
        <v>65</v>
      </c>
      <c r="C33" s="2">
        <f>SUM(C29:C32)</f>
        <v>15309.922800000002</v>
      </c>
      <c r="D33" s="2">
        <f t="shared" ref="D33:U33" si="10">SUM(D29:D32)</f>
        <v>24.82</v>
      </c>
      <c r="E33" s="2">
        <f t="shared" si="10"/>
        <v>70.22</v>
      </c>
      <c r="F33" s="2">
        <f t="shared" si="10"/>
        <v>0</v>
      </c>
      <c r="G33" s="2">
        <f t="shared" si="10"/>
        <v>9.7200000000000006</v>
      </c>
      <c r="H33" s="2">
        <f t="shared" si="10"/>
        <v>15334.742800000002</v>
      </c>
      <c r="I33" s="2">
        <f t="shared" si="10"/>
        <v>421.97300000000001</v>
      </c>
      <c r="J33" s="2">
        <f t="shared" si="10"/>
        <v>1.18</v>
      </c>
      <c r="K33" s="2">
        <f t="shared" si="10"/>
        <v>2.7800000000000002</v>
      </c>
      <c r="L33" s="2">
        <f t="shared" si="10"/>
        <v>0</v>
      </c>
      <c r="M33" s="2">
        <f t="shared" si="10"/>
        <v>0</v>
      </c>
      <c r="N33" s="2">
        <f t="shared" si="10"/>
        <v>423.15300000000002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10"/>
        <v>140.172</v>
      </c>
      <c r="U33" s="2">
        <f t="shared" si="10"/>
        <v>15898.067800000001</v>
      </c>
    </row>
    <row r="34" spans="1:23" ht="38.25" customHeight="1">
      <c r="A34" s="66">
        <v>21</v>
      </c>
      <c r="B34" s="68" t="s">
        <v>39</v>
      </c>
      <c r="C34" s="1">
        <f>'May 2022'!H34</f>
        <v>4490.87</v>
      </c>
      <c r="D34" s="1">
        <v>16.920000000000002</v>
      </c>
      <c r="E34" s="1">
        <f>'May 2022'!E34+'June 2022'!D34</f>
        <v>68.69</v>
      </c>
      <c r="F34" s="1">
        <v>0</v>
      </c>
      <c r="G34" s="1">
        <f>'May 2022'!G34+'June 2022'!F34</f>
        <v>0</v>
      </c>
      <c r="H34" s="1">
        <f t="shared" si="0"/>
        <v>4507.79</v>
      </c>
      <c r="I34" s="1">
        <f>'May 2022'!N34</f>
        <v>22.14</v>
      </c>
      <c r="J34" s="1">
        <v>0</v>
      </c>
      <c r="K34" s="1">
        <f>'May 2022'!K34+'June 2022'!J34</f>
        <v>22.14</v>
      </c>
      <c r="L34" s="1">
        <v>0</v>
      </c>
      <c r="M34" s="1">
        <f>'May 2022'!M34+'June 2022'!L34</f>
        <v>0</v>
      </c>
      <c r="N34" s="1">
        <f t="shared" si="1"/>
        <v>22.14</v>
      </c>
      <c r="O34" s="1">
        <f>'May 2022'!T34</f>
        <v>72.7</v>
      </c>
      <c r="P34" s="1">
        <v>0</v>
      </c>
      <c r="Q34" s="1">
        <f>'May 2022'!Q34+'June 2022'!P34</f>
        <v>72.7</v>
      </c>
      <c r="R34" s="1">
        <v>0</v>
      </c>
      <c r="S34" s="1">
        <f>'May 2022'!S34+'June 2022'!R34</f>
        <v>0</v>
      </c>
      <c r="T34" s="1">
        <f t="shared" si="2"/>
        <v>72.7</v>
      </c>
      <c r="U34" s="1">
        <f t="shared" si="3"/>
        <v>4602.63</v>
      </c>
    </row>
    <row r="35" spans="1:23" ht="38.25" customHeight="1">
      <c r="A35" s="66">
        <v>22</v>
      </c>
      <c r="B35" s="68" t="s">
        <v>40</v>
      </c>
      <c r="C35" s="1">
        <f>'May 2022'!H35</f>
        <v>6305.9299999999976</v>
      </c>
      <c r="D35" s="1">
        <v>40.479999999999997</v>
      </c>
      <c r="E35" s="1">
        <f>'May 2022'!E35+'June 2022'!D35</f>
        <v>136.82999999999998</v>
      </c>
      <c r="F35" s="1">
        <v>0</v>
      </c>
      <c r="G35" s="1">
        <f>'May 2022'!G35+'June 2022'!F35</f>
        <v>0</v>
      </c>
      <c r="H35" s="1">
        <f t="shared" si="0"/>
        <v>6346.4099999999971</v>
      </c>
      <c r="I35" s="1">
        <f>'May 2022'!N35</f>
        <v>33.18</v>
      </c>
      <c r="J35" s="1">
        <v>0.5</v>
      </c>
      <c r="K35" s="1">
        <f>'May 2022'!K35+'June 2022'!J35</f>
        <v>26.76</v>
      </c>
      <c r="L35" s="1">
        <v>0</v>
      </c>
      <c r="M35" s="1">
        <f>'May 2022'!M35+'June 2022'!L35</f>
        <v>0</v>
      </c>
      <c r="N35" s="1">
        <f t="shared" si="1"/>
        <v>33.68</v>
      </c>
      <c r="O35" s="1">
        <f>'May 2022'!T35</f>
        <v>90.800000000000011</v>
      </c>
      <c r="P35" s="1">
        <v>0</v>
      </c>
      <c r="Q35" s="1">
        <f>'May 2022'!Q35+'June 2022'!P35</f>
        <v>32.380000000000003</v>
      </c>
      <c r="R35" s="1">
        <v>0</v>
      </c>
      <c r="S35" s="1">
        <f>'May 2022'!S35+'June 2022'!R35</f>
        <v>0</v>
      </c>
      <c r="T35" s="1">
        <f t="shared" si="2"/>
        <v>90.800000000000011</v>
      </c>
      <c r="U35" s="1">
        <f t="shared" si="3"/>
        <v>6470.8899999999976</v>
      </c>
    </row>
    <row r="36" spans="1:23" s="7" customFormat="1" ht="38.25" customHeight="1">
      <c r="A36" s="66">
        <v>23</v>
      </c>
      <c r="B36" s="68" t="s">
        <v>41</v>
      </c>
      <c r="C36" s="1">
        <f>'May 2022'!H36</f>
        <v>3502.37</v>
      </c>
      <c r="D36" s="1">
        <v>31.51</v>
      </c>
      <c r="E36" s="1">
        <f>'May 2022'!E36+'June 2022'!D36</f>
        <v>82.78</v>
      </c>
      <c r="F36" s="1">
        <v>0</v>
      </c>
      <c r="G36" s="1">
        <f>'May 2022'!G36+'June 2022'!F36</f>
        <v>0</v>
      </c>
      <c r="H36" s="1">
        <f t="shared" si="0"/>
        <v>3533.88</v>
      </c>
      <c r="I36" s="1">
        <f>'May 2022'!N36</f>
        <v>25.05000000000004</v>
      </c>
      <c r="J36" s="1">
        <v>5.2</v>
      </c>
      <c r="K36" s="1">
        <f>'May 2022'!K36+'June 2022'!J36</f>
        <v>5.2</v>
      </c>
      <c r="L36" s="1">
        <v>0</v>
      </c>
      <c r="M36" s="1">
        <f>'May 2022'!M36+'June 2022'!L36</f>
        <v>4.63</v>
      </c>
      <c r="N36" s="1">
        <f t="shared" si="1"/>
        <v>30.250000000000039</v>
      </c>
      <c r="O36" s="1">
        <f>'May 2022'!T36</f>
        <v>36.379999999999995</v>
      </c>
      <c r="P36" s="1">
        <v>0</v>
      </c>
      <c r="Q36" s="1">
        <f>'May 2022'!Q36+'June 2022'!P36</f>
        <v>19.29</v>
      </c>
      <c r="R36" s="1">
        <v>0</v>
      </c>
      <c r="S36" s="1">
        <f>'May 2022'!S36+'June 2022'!R36</f>
        <v>0</v>
      </c>
      <c r="T36" s="1">
        <f t="shared" si="2"/>
        <v>36.379999999999995</v>
      </c>
      <c r="U36" s="1">
        <f t="shared" si="3"/>
        <v>3600.51</v>
      </c>
    </row>
    <row r="37" spans="1:23" s="7" customFormat="1" ht="38.25" customHeight="1">
      <c r="A37" s="66">
        <v>24</v>
      </c>
      <c r="B37" s="68" t="s">
        <v>42</v>
      </c>
      <c r="C37" s="1">
        <f>'May 2022'!H37</f>
        <v>4825.8699999999972</v>
      </c>
      <c r="D37" s="1">
        <v>28.7</v>
      </c>
      <c r="E37" s="1">
        <f>'May 2022'!E37+'June 2022'!D37</f>
        <v>66.449999999999989</v>
      </c>
      <c r="F37" s="1">
        <v>0</v>
      </c>
      <c r="G37" s="1">
        <f>'May 2022'!G37+'June 2022'!F37</f>
        <v>0</v>
      </c>
      <c r="H37" s="1">
        <f t="shared" si="0"/>
        <v>4854.569999999997</v>
      </c>
      <c r="I37" s="1">
        <f>'May 2022'!N37</f>
        <v>12.430000000000001</v>
      </c>
      <c r="J37" s="1">
        <v>14.27</v>
      </c>
      <c r="K37" s="1">
        <f>'May 2022'!K37+'June 2022'!J37</f>
        <v>14.27</v>
      </c>
      <c r="L37" s="1">
        <v>0</v>
      </c>
      <c r="M37" s="1">
        <f>'May 2022'!M37+'June 2022'!L37</f>
        <v>1.06</v>
      </c>
      <c r="N37" s="1">
        <f t="shared" si="1"/>
        <v>26.700000000000003</v>
      </c>
      <c r="O37" s="1">
        <f>'May 2022'!T37</f>
        <v>3.0599999999999996</v>
      </c>
      <c r="P37" s="1">
        <v>0</v>
      </c>
      <c r="Q37" s="1">
        <f>'May 2022'!Q37+'June 2022'!P37</f>
        <v>0</v>
      </c>
      <c r="R37" s="1">
        <v>0</v>
      </c>
      <c r="S37" s="1">
        <f>'May 2022'!S37+'June 2022'!R37</f>
        <v>3.46</v>
      </c>
      <c r="T37" s="1">
        <f t="shared" si="2"/>
        <v>3.0599999999999996</v>
      </c>
      <c r="U37" s="1">
        <f t="shared" si="3"/>
        <v>4884.3299999999972</v>
      </c>
    </row>
    <row r="38" spans="1:23" s="7" customFormat="1" ht="38.25" customHeight="1">
      <c r="A38" s="65"/>
      <c r="B38" s="67" t="s">
        <v>43</v>
      </c>
      <c r="C38" s="2">
        <f>SUM(C34:C37)</f>
        <v>19125.039999999994</v>
      </c>
      <c r="D38" s="2">
        <f t="shared" ref="D38:U38" si="11">SUM(D34:D37)</f>
        <v>117.61</v>
      </c>
      <c r="E38" s="2">
        <f t="shared" si="11"/>
        <v>354.74999999999994</v>
      </c>
      <c r="F38" s="2">
        <f t="shared" si="11"/>
        <v>0</v>
      </c>
      <c r="G38" s="2">
        <f t="shared" si="11"/>
        <v>0</v>
      </c>
      <c r="H38" s="2">
        <f t="shared" si="11"/>
        <v>19242.649999999994</v>
      </c>
      <c r="I38" s="2">
        <f t="shared" si="11"/>
        <v>92.80000000000004</v>
      </c>
      <c r="J38" s="2">
        <f t="shared" si="11"/>
        <v>19.97</v>
      </c>
      <c r="K38" s="2">
        <f t="shared" si="11"/>
        <v>68.37</v>
      </c>
      <c r="L38" s="2">
        <f t="shared" si="11"/>
        <v>0</v>
      </c>
      <c r="M38" s="2">
        <f t="shared" si="11"/>
        <v>5.6899999999999995</v>
      </c>
      <c r="N38" s="2">
        <f t="shared" si="11"/>
        <v>112.77000000000004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11"/>
        <v>202.94</v>
      </c>
      <c r="U38" s="2">
        <f t="shared" si="11"/>
        <v>19558.359999999993</v>
      </c>
    </row>
    <row r="39" spans="1:23" s="7" customFormat="1" ht="38.25" customHeight="1">
      <c r="A39" s="65"/>
      <c r="B39" s="67" t="s">
        <v>44</v>
      </c>
      <c r="C39" s="2">
        <f>C38+C33+C28</f>
        <v>41594.047799999993</v>
      </c>
      <c r="D39" s="2">
        <f t="shared" ref="D39:U39" si="12">D38+D33+D28</f>
        <v>166.98000000000002</v>
      </c>
      <c r="E39" s="2">
        <f t="shared" si="12"/>
        <v>478.9199999999999</v>
      </c>
      <c r="F39" s="2">
        <f t="shared" si="12"/>
        <v>0</v>
      </c>
      <c r="G39" s="2">
        <f t="shared" si="12"/>
        <v>9.7200000000000006</v>
      </c>
      <c r="H39" s="2">
        <f t="shared" si="12"/>
        <v>41761.027799999996</v>
      </c>
      <c r="I39" s="2">
        <f t="shared" si="12"/>
        <v>1179.3009999999999</v>
      </c>
      <c r="J39" s="2">
        <f t="shared" si="12"/>
        <v>21.849999999999998</v>
      </c>
      <c r="K39" s="2">
        <f t="shared" si="12"/>
        <v>74.86</v>
      </c>
      <c r="L39" s="2">
        <f t="shared" si="12"/>
        <v>0</v>
      </c>
      <c r="M39" s="2">
        <f t="shared" si="12"/>
        <v>5.6899999999999995</v>
      </c>
      <c r="N39" s="2">
        <f t="shared" si="12"/>
        <v>1201.1509999999998</v>
      </c>
      <c r="O39" s="2">
        <f t="shared" si="12"/>
        <v>392.71199999999999</v>
      </c>
      <c r="P39" s="2">
        <f t="shared" si="12"/>
        <v>0</v>
      </c>
      <c r="Q39" s="2">
        <f t="shared" si="12"/>
        <v>124.37</v>
      </c>
      <c r="R39" s="2">
        <f t="shared" si="12"/>
        <v>0</v>
      </c>
      <c r="S39" s="2">
        <f t="shared" si="12"/>
        <v>26.66</v>
      </c>
      <c r="T39" s="2">
        <f t="shared" si="12"/>
        <v>392.71199999999999</v>
      </c>
      <c r="U39" s="2">
        <f t="shared" si="12"/>
        <v>43354.890799999994</v>
      </c>
      <c r="V39" s="2"/>
      <c r="W39" s="2"/>
    </row>
    <row r="40" spans="1:23" ht="38.25" customHeight="1">
      <c r="A40" s="66">
        <v>25</v>
      </c>
      <c r="B40" s="68" t="s">
        <v>45</v>
      </c>
      <c r="C40" s="1">
        <f>'May 2022'!H40</f>
        <v>11530.023999999999</v>
      </c>
      <c r="D40" s="1">
        <v>47.22</v>
      </c>
      <c r="E40" s="1">
        <f>'May 2022'!E40+'June 2022'!D40</f>
        <v>186.8</v>
      </c>
      <c r="F40" s="1">
        <v>0</v>
      </c>
      <c r="G40" s="1">
        <f>'May 2022'!G40+'June 2022'!F40</f>
        <v>0</v>
      </c>
      <c r="H40" s="1">
        <f t="shared" si="0"/>
        <v>11577.243999999999</v>
      </c>
      <c r="I40" s="1">
        <v>198.73</v>
      </c>
      <c r="J40" s="1">
        <v>0</v>
      </c>
      <c r="K40" s="1">
        <f>'May 2022'!K40+'June 2022'!J40</f>
        <v>0</v>
      </c>
      <c r="L40" s="1">
        <v>0</v>
      </c>
      <c r="M40" s="1">
        <f>'May 2022'!M40+'June 2022'!L40</f>
        <v>0</v>
      </c>
      <c r="N40" s="1">
        <f t="shared" si="1"/>
        <v>198.73</v>
      </c>
      <c r="O40" s="1">
        <f>'May 2022'!T40</f>
        <v>0</v>
      </c>
      <c r="P40" s="1">
        <v>0</v>
      </c>
      <c r="Q40" s="1">
        <f>'May 2022'!Q40+'June 2022'!P40</f>
        <v>0</v>
      </c>
      <c r="R40" s="1">
        <v>0</v>
      </c>
      <c r="S40" s="1">
        <f>'May 2022'!S40+'June 2022'!R40</f>
        <v>0</v>
      </c>
      <c r="T40" s="1">
        <f t="shared" si="2"/>
        <v>0</v>
      </c>
      <c r="U40" s="1">
        <f t="shared" si="3"/>
        <v>11775.973999999998</v>
      </c>
    </row>
    <row r="41" spans="1:23" ht="38.25" customHeight="1">
      <c r="A41" s="66">
        <v>26</v>
      </c>
      <c r="B41" s="68" t="s">
        <v>46</v>
      </c>
      <c r="C41" s="1">
        <f>'May 2022'!H41</f>
        <v>7642.3569999999945</v>
      </c>
      <c r="D41" s="1">
        <v>95.28</v>
      </c>
      <c r="E41" s="1">
        <f>'May 2022'!E41+'June 2022'!D41</f>
        <v>239.6</v>
      </c>
      <c r="F41" s="1">
        <v>0</v>
      </c>
      <c r="G41" s="1">
        <f>'May 2022'!G41+'June 2022'!F41</f>
        <v>0</v>
      </c>
      <c r="H41" s="1">
        <f t="shared" si="0"/>
        <v>7737.6369999999943</v>
      </c>
      <c r="I41" s="1">
        <v>8.67</v>
      </c>
      <c r="J41" s="1">
        <v>0</v>
      </c>
      <c r="K41" s="1">
        <f>'May 2022'!K41+'June 2022'!J41</f>
        <v>0</v>
      </c>
      <c r="L41" s="1">
        <v>0</v>
      </c>
      <c r="M41" s="1">
        <f>'May 2022'!M41+'June 2022'!L41</f>
        <v>0</v>
      </c>
      <c r="N41" s="1">
        <f t="shared" si="1"/>
        <v>8.67</v>
      </c>
      <c r="O41" s="1">
        <f>'May 2022'!T41</f>
        <v>0</v>
      </c>
      <c r="P41" s="1">
        <v>0</v>
      </c>
      <c r="Q41" s="1">
        <f>'May 2022'!Q41+'June 2022'!P41</f>
        <v>0</v>
      </c>
      <c r="R41" s="1">
        <v>0</v>
      </c>
      <c r="S41" s="1">
        <f>'May 2022'!S41+'June 2022'!R41</f>
        <v>0</v>
      </c>
      <c r="T41" s="1">
        <f t="shared" si="2"/>
        <v>0</v>
      </c>
      <c r="U41" s="1">
        <f t="shared" si="3"/>
        <v>7746.3069999999943</v>
      </c>
    </row>
    <row r="42" spans="1:23" s="7" customFormat="1" ht="38.25" customHeight="1">
      <c r="A42" s="66">
        <v>27</v>
      </c>
      <c r="B42" s="68" t="s">
        <v>47</v>
      </c>
      <c r="C42" s="1">
        <f>'May 2022'!H42</f>
        <v>13829.788999999995</v>
      </c>
      <c r="D42" s="1">
        <v>11.5</v>
      </c>
      <c r="E42" s="1">
        <f>'May 2022'!E42+'June 2022'!D42</f>
        <v>35.85</v>
      </c>
      <c r="F42" s="1">
        <v>0</v>
      </c>
      <c r="G42" s="1">
        <f>'May 2022'!G42+'June 2022'!F42</f>
        <v>0</v>
      </c>
      <c r="H42" s="1">
        <f t="shared" si="0"/>
        <v>13841.288999999995</v>
      </c>
      <c r="I42" s="1">
        <v>15.62</v>
      </c>
      <c r="J42" s="1">
        <v>0</v>
      </c>
      <c r="K42" s="1">
        <f>'May 2022'!K42+'June 2022'!J42</f>
        <v>0</v>
      </c>
      <c r="L42" s="1">
        <v>0</v>
      </c>
      <c r="M42" s="1">
        <f>'May 2022'!M42+'June 2022'!L42</f>
        <v>0</v>
      </c>
      <c r="N42" s="1">
        <f t="shared" si="1"/>
        <v>15.62</v>
      </c>
      <c r="O42" s="1">
        <f>'May 2022'!T42</f>
        <v>39.019999999999996</v>
      </c>
      <c r="P42" s="1">
        <v>0</v>
      </c>
      <c r="Q42" s="1">
        <f>'May 2022'!Q42+'June 2022'!P42</f>
        <v>0</v>
      </c>
      <c r="R42" s="1">
        <v>0</v>
      </c>
      <c r="S42" s="1">
        <f>'May 2022'!S42+'June 2022'!R42</f>
        <v>0</v>
      </c>
      <c r="T42" s="1">
        <f t="shared" si="2"/>
        <v>39.019999999999996</v>
      </c>
      <c r="U42" s="1">
        <f t="shared" si="3"/>
        <v>13895.928999999996</v>
      </c>
    </row>
    <row r="43" spans="1:23" ht="38.25" customHeight="1">
      <c r="A43" s="66">
        <v>28</v>
      </c>
      <c r="B43" s="68" t="s">
        <v>48</v>
      </c>
      <c r="C43" s="1">
        <f>'May 2022'!H43</f>
        <v>3978.8400000000011</v>
      </c>
      <c r="D43" s="1">
        <v>6.36</v>
      </c>
      <c r="E43" s="1">
        <f>'May 2022'!E43+'June 2022'!D43</f>
        <v>17.72</v>
      </c>
      <c r="F43" s="1">
        <v>0</v>
      </c>
      <c r="G43" s="1">
        <f>'May 2022'!G43+'June 2022'!F43</f>
        <v>0</v>
      </c>
      <c r="H43" s="1">
        <f t="shared" si="0"/>
        <v>3985.2000000000012</v>
      </c>
      <c r="I43" s="1">
        <v>3.5</v>
      </c>
      <c r="J43" s="1">
        <v>0</v>
      </c>
      <c r="K43" s="1">
        <f>'May 2022'!K43+'June 2022'!J43</f>
        <v>0</v>
      </c>
      <c r="L43" s="1">
        <v>0</v>
      </c>
      <c r="M43" s="1">
        <f>'May 2022'!M43+'June 2022'!L43</f>
        <v>0</v>
      </c>
      <c r="N43" s="1">
        <f t="shared" si="1"/>
        <v>3.5</v>
      </c>
      <c r="O43" s="1">
        <f>'May 2022'!T43</f>
        <v>0</v>
      </c>
      <c r="P43" s="1">
        <v>0</v>
      </c>
      <c r="Q43" s="1">
        <f>'May 2022'!Q43+'June 2022'!P43</f>
        <v>0</v>
      </c>
      <c r="R43" s="1">
        <v>0</v>
      </c>
      <c r="S43" s="1">
        <f>'May 2022'!S43+'June 2022'!R43</f>
        <v>0</v>
      </c>
      <c r="T43" s="1">
        <f t="shared" si="2"/>
        <v>0</v>
      </c>
      <c r="U43" s="1">
        <f t="shared" si="3"/>
        <v>3988.7000000000012</v>
      </c>
    </row>
    <row r="44" spans="1:23" s="7" customFormat="1" ht="38.25" customHeight="1">
      <c r="A44" s="65"/>
      <c r="B44" s="67" t="s">
        <v>49</v>
      </c>
      <c r="C44" s="2">
        <f>SUM(C40:C43)</f>
        <v>36981.009999999995</v>
      </c>
      <c r="D44" s="2">
        <f t="shared" ref="D44:U44" si="13">SUM(D40:D43)</f>
        <v>160.36000000000001</v>
      </c>
      <c r="E44" s="2">
        <f t="shared" si="13"/>
        <v>479.97</v>
      </c>
      <c r="F44" s="2">
        <f t="shared" si="13"/>
        <v>0</v>
      </c>
      <c r="G44" s="2">
        <f t="shared" si="13"/>
        <v>0</v>
      </c>
      <c r="H44" s="2">
        <f t="shared" si="13"/>
        <v>37141.369999999995</v>
      </c>
      <c r="I44" s="2">
        <f t="shared" si="13"/>
        <v>226.51999999999998</v>
      </c>
      <c r="J44" s="2">
        <f t="shared" si="13"/>
        <v>0</v>
      </c>
      <c r="K44" s="2">
        <f t="shared" si="13"/>
        <v>0</v>
      </c>
      <c r="L44" s="2">
        <f t="shared" si="13"/>
        <v>0</v>
      </c>
      <c r="M44" s="2">
        <f t="shared" si="13"/>
        <v>0</v>
      </c>
      <c r="N44" s="2">
        <f t="shared" si="13"/>
        <v>226.51999999999998</v>
      </c>
      <c r="O44" s="2">
        <f t="shared" si="13"/>
        <v>39.019999999999996</v>
      </c>
      <c r="P44" s="2">
        <f t="shared" si="13"/>
        <v>0</v>
      </c>
      <c r="Q44" s="2">
        <f t="shared" si="13"/>
        <v>0</v>
      </c>
      <c r="R44" s="2">
        <f t="shared" si="13"/>
        <v>0</v>
      </c>
      <c r="S44" s="2">
        <f t="shared" si="13"/>
        <v>0</v>
      </c>
      <c r="T44" s="2">
        <f t="shared" si="13"/>
        <v>39.019999999999996</v>
      </c>
      <c r="U44" s="2">
        <f t="shared" si="13"/>
        <v>37406.909999999996</v>
      </c>
    </row>
    <row r="45" spans="1:23" ht="38.25" customHeight="1">
      <c r="A45" s="66">
        <v>29</v>
      </c>
      <c r="B45" s="68" t="s">
        <v>50</v>
      </c>
      <c r="C45" s="1">
        <f>'May 2022'!H45-371.34</f>
        <v>8084.5421000000006</v>
      </c>
      <c r="D45" s="1">
        <v>16.89</v>
      </c>
      <c r="E45" s="1">
        <f>'May 2022'!E45+'June 2022'!D45</f>
        <v>49.45</v>
      </c>
      <c r="F45" s="1">
        <v>0</v>
      </c>
      <c r="G45" s="1">
        <f>'May 2022'!G45+'June 2022'!F45</f>
        <v>0</v>
      </c>
      <c r="H45" s="1">
        <f t="shared" si="0"/>
        <v>8101.4321000000009</v>
      </c>
      <c r="I45" s="1">
        <f>'May 2022'!N45+25.16</f>
        <v>42.14</v>
      </c>
      <c r="J45" s="1">
        <v>0</v>
      </c>
      <c r="K45" s="1">
        <f>'May 2022'!K45+'June 2022'!J45</f>
        <v>0.22</v>
      </c>
      <c r="L45" s="1">
        <v>0</v>
      </c>
      <c r="M45" s="1">
        <f>'May 2022'!M45+'June 2022'!L45</f>
        <v>0</v>
      </c>
      <c r="N45" s="1">
        <f t="shared" si="1"/>
        <v>42.14</v>
      </c>
      <c r="O45" s="1">
        <f>'May 2022'!T45</f>
        <v>14.75</v>
      </c>
      <c r="P45" s="1">
        <v>0</v>
      </c>
      <c r="Q45" s="1">
        <f>'May 2022'!Q45+'June 2022'!P45</f>
        <v>0</v>
      </c>
      <c r="R45" s="1">
        <v>0</v>
      </c>
      <c r="S45" s="1">
        <f>'May 2022'!S45+'June 2022'!R45</f>
        <v>0</v>
      </c>
      <c r="T45" s="1">
        <f t="shared" si="2"/>
        <v>14.75</v>
      </c>
      <c r="U45" s="1">
        <f t="shared" si="3"/>
        <v>8158.3221000000012</v>
      </c>
    </row>
    <row r="46" spans="1:23" ht="38.25" customHeight="1">
      <c r="A46" s="66">
        <v>30</v>
      </c>
      <c r="B46" s="68" t="s">
        <v>51</v>
      </c>
      <c r="C46" s="1">
        <f>'May 2022'!H46</f>
        <v>7764.8450000000021</v>
      </c>
      <c r="D46" s="1">
        <v>8</v>
      </c>
      <c r="E46" s="1">
        <f>'May 2022'!E46+'June 2022'!D46</f>
        <v>34.35</v>
      </c>
      <c r="F46" s="1">
        <v>0</v>
      </c>
      <c r="G46" s="1">
        <f>'May 2022'!G46+'June 2022'!F46</f>
        <v>0</v>
      </c>
      <c r="H46" s="1">
        <f t="shared" si="0"/>
        <v>7772.8450000000021</v>
      </c>
      <c r="I46" s="1">
        <f>'May 2022'!N46</f>
        <v>0</v>
      </c>
      <c r="J46" s="1">
        <v>0</v>
      </c>
      <c r="K46" s="1">
        <f>'May 2022'!K46+'June 2022'!J46</f>
        <v>0</v>
      </c>
      <c r="L46" s="1">
        <v>0</v>
      </c>
      <c r="M46" s="1">
        <f>'May 2022'!M46+'June 2022'!L46</f>
        <v>0</v>
      </c>
      <c r="N46" s="1">
        <f t="shared" si="1"/>
        <v>0</v>
      </c>
      <c r="O46" s="1">
        <f>'May 2022'!T46</f>
        <v>0</v>
      </c>
      <c r="P46" s="1">
        <v>0</v>
      </c>
      <c r="Q46" s="1">
        <f>'May 2022'!Q46+'June 2022'!P46</f>
        <v>0</v>
      </c>
      <c r="R46" s="1">
        <v>0</v>
      </c>
      <c r="S46" s="1">
        <f>'May 2022'!S46+'June 2022'!R46</f>
        <v>0</v>
      </c>
      <c r="T46" s="1">
        <f t="shared" si="2"/>
        <v>0</v>
      </c>
      <c r="U46" s="1">
        <f t="shared" si="3"/>
        <v>7772.8450000000021</v>
      </c>
    </row>
    <row r="47" spans="1:23" s="7" customFormat="1" ht="38.25" customHeight="1">
      <c r="A47" s="66">
        <v>31</v>
      </c>
      <c r="B47" s="68" t="s">
        <v>52</v>
      </c>
      <c r="C47" s="1">
        <f>'May 2022'!H47</f>
        <v>8861.7900000000009</v>
      </c>
      <c r="D47" s="1">
        <v>42.28</v>
      </c>
      <c r="E47" s="1">
        <f>'May 2022'!E47+'June 2022'!D47</f>
        <v>119.43</v>
      </c>
      <c r="F47" s="1">
        <v>0</v>
      </c>
      <c r="G47" s="1">
        <f>'May 2022'!G47+'June 2022'!F47</f>
        <v>0</v>
      </c>
      <c r="H47" s="1">
        <f t="shared" si="0"/>
        <v>8904.0700000000015</v>
      </c>
      <c r="I47" s="1">
        <f>'May 2022'!N47</f>
        <v>3.13</v>
      </c>
      <c r="J47" s="1">
        <v>0</v>
      </c>
      <c r="K47" s="1">
        <f>'May 2022'!K47+'June 2022'!J47</f>
        <v>0</v>
      </c>
      <c r="L47" s="1">
        <v>0</v>
      </c>
      <c r="M47" s="1">
        <f>'May 2022'!M47+'June 2022'!L47</f>
        <v>0</v>
      </c>
      <c r="N47" s="1">
        <f t="shared" si="1"/>
        <v>3.13</v>
      </c>
      <c r="O47" s="1">
        <f>'May 2022'!T47</f>
        <v>0.03</v>
      </c>
      <c r="P47" s="1">
        <v>0</v>
      </c>
      <c r="Q47" s="1">
        <f>'May 2022'!Q47+'June 2022'!P47</f>
        <v>0</v>
      </c>
      <c r="R47" s="1">
        <v>0</v>
      </c>
      <c r="S47" s="1">
        <f>'May 2022'!S47+'June 2022'!R47</f>
        <v>0</v>
      </c>
      <c r="T47" s="1">
        <f t="shared" si="2"/>
        <v>0.03</v>
      </c>
      <c r="U47" s="1">
        <f t="shared" si="3"/>
        <v>8907.2300000000014</v>
      </c>
    </row>
    <row r="48" spans="1:23" s="7" customFormat="1" ht="38.25" customHeight="1">
      <c r="A48" s="66">
        <v>32</v>
      </c>
      <c r="B48" s="68" t="s">
        <v>53</v>
      </c>
      <c r="C48" s="1">
        <f>'May 2022'!H48</f>
        <v>8554.4789999999994</v>
      </c>
      <c r="D48" s="1">
        <v>16.87</v>
      </c>
      <c r="E48" s="1">
        <f>'May 2022'!E48+'June 2022'!D48</f>
        <v>374.56</v>
      </c>
      <c r="F48" s="1">
        <v>0</v>
      </c>
      <c r="G48" s="1">
        <f>'May 2022'!G48+'June 2022'!F48</f>
        <v>0</v>
      </c>
      <c r="H48" s="1">
        <f t="shared" si="0"/>
        <v>8571.3490000000002</v>
      </c>
      <c r="I48" s="1">
        <f>'May 2022'!N48</f>
        <v>5.0249999999999995</v>
      </c>
      <c r="J48" s="1">
        <v>0</v>
      </c>
      <c r="K48" s="1">
        <f>'May 2022'!K48+'June 2022'!J48</f>
        <v>0</v>
      </c>
      <c r="L48" s="1">
        <v>0</v>
      </c>
      <c r="M48" s="1">
        <f>'May 2022'!M48+'June 2022'!L48</f>
        <v>0</v>
      </c>
      <c r="N48" s="1">
        <f t="shared" si="1"/>
        <v>5.0249999999999995</v>
      </c>
      <c r="O48" s="1">
        <f>'May 2022'!T48</f>
        <v>4.21</v>
      </c>
      <c r="P48" s="1">
        <v>0</v>
      </c>
      <c r="Q48" s="1">
        <f>'May 2022'!Q48+'June 2022'!P48</f>
        <v>4.21</v>
      </c>
      <c r="R48" s="1">
        <v>0</v>
      </c>
      <c r="S48" s="1">
        <f>'May 2022'!S48+'June 2022'!R48</f>
        <v>0</v>
      </c>
      <c r="T48" s="1">
        <f t="shared" si="2"/>
        <v>4.21</v>
      </c>
      <c r="U48" s="1">
        <f t="shared" si="3"/>
        <v>8580.5839999999989</v>
      </c>
    </row>
    <row r="49" spans="1:21" s="7" customFormat="1" ht="38.25" customHeight="1">
      <c r="A49" s="65"/>
      <c r="B49" s="67" t="s">
        <v>54</v>
      </c>
      <c r="C49" s="2">
        <f>SUM(C45:C48)</f>
        <v>33265.656100000007</v>
      </c>
      <c r="D49" s="2">
        <f t="shared" ref="D49:U49" si="14">SUM(D45:D48)</f>
        <v>84.04</v>
      </c>
      <c r="E49" s="2">
        <f t="shared" si="14"/>
        <v>577.79</v>
      </c>
      <c r="F49" s="2">
        <f t="shared" si="14"/>
        <v>0</v>
      </c>
      <c r="G49" s="2">
        <f t="shared" si="14"/>
        <v>0</v>
      </c>
      <c r="H49" s="2">
        <f t="shared" si="14"/>
        <v>33349.696100000008</v>
      </c>
      <c r="I49" s="2">
        <f t="shared" si="14"/>
        <v>50.295000000000002</v>
      </c>
      <c r="J49" s="2">
        <f t="shared" si="14"/>
        <v>0</v>
      </c>
      <c r="K49" s="2">
        <f t="shared" si="14"/>
        <v>0.22</v>
      </c>
      <c r="L49" s="2">
        <f t="shared" si="14"/>
        <v>0</v>
      </c>
      <c r="M49" s="2">
        <f t="shared" si="14"/>
        <v>0</v>
      </c>
      <c r="N49" s="2">
        <f t="shared" si="14"/>
        <v>50.295000000000002</v>
      </c>
      <c r="O49" s="2">
        <f t="shared" si="14"/>
        <v>18.989999999999998</v>
      </c>
      <c r="P49" s="2">
        <f t="shared" si="14"/>
        <v>0</v>
      </c>
      <c r="Q49" s="2">
        <f t="shared" si="14"/>
        <v>4.21</v>
      </c>
      <c r="R49" s="2">
        <f t="shared" si="14"/>
        <v>0</v>
      </c>
      <c r="S49" s="2">
        <f t="shared" si="14"/>
        <v>0</v>
      </c>
      <c r="T49" s="2">
        <f t="shared" si="14"/>
        <v>18.989999999999998</v>
      </c>
      <c r="U49" s="2">
        <f t="shared" si="14"/>
        <v>33418.981100000005</v>
      </c>
    </row>
    <row r="50" spans="1:21" s="7" customFormat="1" ht="38.25" customHeight="1">
      <c r="A50" s="65"/>
      <c r="B50" s="67" t="s">
        <v>55</v>
      </c>
      <c r="C50" s="2">
        <f>C49+C44</f>
        <v>70246.666100000002</v>
      </c>
      <c r="D50" s="2">
        <f t="shared" ref="D50:U50" si="15">D49+D44</f>
        <v>244.40000000000003</v>
      </c>
      <c r="E50" s="2">
        <f t="shared" si="15"/>
        <v>1057.76</v>
      </c>
      <c r="F50" s="2">
        <f t="shared" si="15"/>
        <v>0</v>
      </c>
      <c r="G50" s="2">
        <f t="shared" si="15"/>
        <v>0</v>
      </c>
      <c r="H50" s="2">
        <f t="shared" si="15"/>
        <v>70491.066099999996</v>
      </c>
      <c r="I50" s="2">
        <f t="shared" si="15"/>
        <v>276.815</v>
      </c>
      <c r="J50" s="2">
        <f t="shared" si="15"/>
        <v>0</v>
      </c>
      <c r="K50" s="2">
        <f t="shared" si="15"/>
        <v>0.22</v>
      </c>
      <c r="L50" s="2">
        <f t="shared" si="15"/>
        <v>0</v>
      </c>
      <c r="M50" s="2">
        <f t="shared" si="15"/>
        <v>0</v>
      </c>
      <c r="N50" s="2">
        <f t="shared" si="15"/>
        <v>276.815</v>
      </c>
      <c r="O50" s="2">
        <f t="shared" si="15"/>
        <v>58.009999999999991</v>
      </c>
      <c r="P50" s="2">
        <f t="shared" si="15"/>
        <v>0</v>
      </c>
      <c r="Q50" s="2">
        <f t="shared" si="15"/>
        <v>4.21</v>
      </c>
      <c r="R50" s="2">
        <f t="shared" si="15"/>
        <v>0</v>
      </c>
      <c r="S50" s="2">
        <f t="shared" si="15"/>
        <v>0</v>
      </c>
      <c r="T50" s="2">
        <f t="shared" si="15"/>
        <v>58.009999999999991</v>
      </c>
      <c r="U50" s="2">
        <f t="shared" si="15"/>
        <v>70825.891100000008</v>
      </c>
    </row>
    <row r="51" spans="1:21" s="7" customFormat="1" ht="38.25" customHeight="1">
      <c r="A51" s="65"/>
      <c r="B51" s="67" t="s">
        <v>56</v>
      </c>
      <c r="C51" s="2">
        <f>C50+C39+C25</f>
        <v>116533.3799</v>
      </c>
      <c r="D51" s="2">
        <f t="shared" ref="D51:U51" si="16">D50+D39+D25</f>
        <v>412.27000000000004</v>
      </c>
      <c r="E51" s="2">
        <f t="shared" si="16"/>
        <v>1542.8799999999999</v>
      </c>
      <c r="F51" s="2">
        <f t="shared" si="16"/>
        <v>36.4</v>
      </c>
      <c r="G51" s="2">
        <f t="shared" si="16"/>
        <v>46.12</v>
      </c>
      <c r="H51" s="2">
        <f t="shared" si="16"/>
        <v>116909.2499</v>
      </c>
      <c r="I51" s="2">
        <f t="shared" si="16"/>
        <v>8660.3159999999989</v>
      </c>
      <c r="J51" s="2">
        <f t="shared" si="16"/>
        <v>430.60700000000003</v>
      </c>
      <c r="K51" s="2">
        <f t="shared" si="16"/>
        <v>667.0390000000001</v>
      </c>
      <c r="L51" s="2">
        <f t="shared" si="16"/>
        <v>0</v>
      </c>
      <c r="M51" s="2">
        <f t="shared" si="16"/>
        <v>6.81</v>
      </c>
      <c r="N51" s="2">
        <f t="shared" si="16"/>
        <v>9090.9230000000007</v>
      </c>
      <c r="O51" s="2">
        <f t="shared" si="16"/>
        <v>1042.3900000000001</v>
      </c>
      <c r="P51" s="2">
        <f t="shared" si="16"/>
        <v>0.61</v>
      </c>
      <c r="Q51" s="2">
        <f t="shared" si="16"/>
        <v>129.19000000000003</v>
      </c>
      <c r="R51" s="2">
        <f t="shared" si="16"/>
        <v>8.4700000000000006</v>
      </c>
      <c r="S51" s="2">
        <f t="shared" si="16"/>
        <v>36.14</v>
      </c>
      <c r="T51" s="2">
        <f t="shared" si="16"/>
        <v>1034.5300000000002</v>
      </c>
      <c r="U51" s="2">
        <f t="shared" si="16"/>
        <v>127034.7029</v>
      </c>
    </row>
    <row r="52" spans="1:21" s="7" customFormat="1" ht="28.5" customHeight="1">
      <c r="A52" s="18"/>
      <c r="B52" s="27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63"/>
      <c r="J53" s="63">
        <f>D51+J51+P51-F51-L51-R51</f>
        <v>798.61700000000008</v>
      </c>
      <c r="K53" s="63"/>
      <c r="L53" s="63"/>
      <c r="M53" s="63"/>
      <c r="N53" s="63"/>
      <c r="R53" s="63"/>
      <c r="U53" s="63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63"/>
      <c r="J54" s="63">
        <f>E51+K51+Q51-G51-M51-S51</f>
        <v>2250.0390000000002</v>
      </c>
      <c r="K54" s="63"/>
      <c r="L54" s="63"/>
      <c r="M54" s="63"/>
      <c r="N54" s="63"/>
      <c r="R54" s="63"/>
      <c r="T54" s="63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127034.70289999999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63"/>
      <c r="E56" s="63"/>
      <c r="F56" s="63"/>
      <c r="G56" s="63"/>
      <c r="H56" s="4"/>
      <c r="I56" s="19"/>
      <c r="J56" s="63"/>
      <c r="K56" s="4"/>
      <c r="L56" s="61"/>
      <c r="M56" s="4"/>
      <c r="N56" s="11">
        <f>'[1]sep 2020 '!J56+'June 2022'!J53</f>
        <v>117549.52789999999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2021'!J55+'June 2022'!J53</f>
        <v>121015.13589999999</v>
      </c>
      <c r="N57" s="7"/>
      <c r="O57" s="3"/>
      <c r="P57" s="64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62"/>
      <c r="L58" s="10"/>
      <c r="M58" s="7"/>
      <c r="N58" s="29">
        <f>'[2]July 2021'!J55+'June 2022'!J53</f>
        <v>121803.88689999998</v>
      </c>
      <c r="O58" s="29">
        <f>'[2]April 2021'!J55+'June 2022'!J53</f>
        <v>121015.13589999999</v>
      </c>
      <c r="P58" s="64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2021'!J55+'June 2022'!J53</f>
        <v>120494.32489999999</v>
      </c>
      <c r="J59" s="143" t="s">
        <v>63</v>
      </c>
      <c r="K59" s="143"/>
      <c r="L59" s="143"/>
      <c r="M59" s="11" t="e">
        <f>#REF!+'June 2022'!J53</f>
        <v>#REF!</v>
      </c>
      <c r="N59" s="4"/>
    </row>
    <row r="60" spans="1:21" ht="37.5" customHeight="1">
      <c r="G60" s="4"/>
      <c r="H60" s="11">
        <f>H51+N51+T51</f>
        <v>127034.70289999999</v>
      </c>
      <c r="J60" s="143" t="s">
        <v>64</v>
      </c>
      <c r="K60" s="143"/>
      <c r="L60" s="143"/>
      <c r="M60" s="11" t="e">
        <f>#REF!+'June 2022'!J53</f>
        <v>#REF!</v>
      </c>
    </row>
    <row r="61" spans="1:21">
      <c r="H61" s="23"/>
    </row>
    <row r="62" spans="1:21">
      <c r="G62" s="4"/>
      <c r="H62" s="11">
        <f>'[1]nov 2020'!J56+'June 2022'!J53</f>
        <v>119413.46789999999</v>
      </c>
      <c r="I62" s="24"/>
      <c r="J62" s="23"/>
    </row>
    <row r="63" spans="1:21">
      <c r="H63" s="11">
        <f>'[1]nov 2020'!J56+'June 2022'!J53</f>
        <v>119413.46789999999</v>
      </c>
      <c r="I63" s="30">
        <f>'[2]June 2021)'!J55+'June 2022'!J53</f>
        <v>121475.1159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W20:W23"/>
    <mergeCell ref="W29:W32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view="pageBreakPreview" topLeftCell="A25" zoomScale="60" zoomScaleNormal="51" workbookViewId="0">
      <selection activeCell="D29" sqref="D29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77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71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70" t="s">
        <v>11</v>
      </c>
      <c r="E6" s="70" t="s">
        <v>12</v>
      </c>
      <c r="F6" s="70" t="s">
        <v>11</v>
      </c>
      <c r="G6" s="70" t="s">
        <v>12</v>
      </c>
      <c r="H6" s="135"/>
      <c r="I6" s="138"/>
      <c r="J6" s="70" t="s">
        <v>11</v>
      </c>
      <c r="K6" s="70" t="s">
        <v>12</v>
      </c>
      <c r="L6" s="70" t="s">
        <v>11</v>
      </c>
      <c r="M6" s="70" t="s">
        <v>12</v>
      </c>
      <c r="N6" s="135"/>
      <c r="O6" s="138"/>
      <c r="P6" s="70" t="s">
        <v>11</v>
      </c>
      <c r="Q6" s="70" t="s">
        <v>12</v>
      </c>
      <c r="R6" s="70" t="s">
        <v>11</v>
      </c>
      <c r="S6" s="70" t="s">
        <v>12</v>
      </c>
      <c r="T6" s="135"/>
      <c r="U6" s="135"/>
    </row>
    <row r="7" spans="1:21" ht="38.25" customHeight="1">
      <c r="A7" s="71">
        <v>1</v>
      </c>
      <c r="B7" s="73" t="s">
        <v>13</v>
      </c>
      <c r="C7" s="1">
        <f>'June 2022'!H7</f>
        <v>90.039999999999978</v>
      </c>
      <c r="D7" s="1">
        <v>0</v>
      </c>
      <c r="E7" s="1">
        <f>'June 2022'!E7+'July 2022'!D7</f>
        <v>0</v>
      </c>
      <c r="F7" s="1">
        <v>41.8</v>
      </c>
      <c r="G7" s="1">
        <f>'June 2022'!G7+'July 2022'!F7</f>
        <v>41.8</v>
      </c>
      <c r="H7" s="1">
        <f>C7+D7-F7</f>
        <v>48.239999999999981</v>
      </c>
      <c r="I7" s="1">
        <f>'June 2022'!N7</f>
        <v>590.44599999999991</v>
      </c>
      <c r="J7" s="1">
        <v>77.319999999999993</v>
      </c>
      <c r="K7" s="1">
        <f>'June 2022'!K7+'July 2022'!J7</f>
        <v>83.548999999999992</v>
      </c>
      <c r="L7" s="1">
        <v>0</v>
      </c>
      <c r="M7" s="1">
        <f>'June 2022'!M7+'July 2022'!L7</f>
        <v>0</v>
      </c>
      <c r="N7" s="1">
        <f>I7+J7-L7</f>
        <v>667.76599999999985</v>
      </c>
      <c r="O7" s="1">
        <f>'June 2022'!T7</f>
        <v>8.436000000000007</v>
      </c>
      <c r="P7" s="1">
        <v>0</v>
      </c>
      <c r="Q7" s="1">
        <f>'June 2022'!Q7+'July 2022'!P7</f>
        <v>0</v>
      </c>
      <c r="R7" s="1">
        <v>0</v>
      </c>
      <c r="S7" s="1">
        <f>'June 2022'!S7+'July 2022'!R7</f>
        <v>1.01</v>
      </c>
      <c r="T7" s="1">
        <f>O7+P7-R7</f>
        <v>8.436000000000007</v>
      </c>
      <c r="U7" s="1">
        <f>H7+N7+T7</f>
        <v>724.44199999999989</v>
      </c>
    </row>
    <row r="8" spans="1:21" ht="38.25" customHeight="1">
      <c r="A8" s="71">
        <v>2</v>
      </c>
      <c r="B8" s="73" t="s">
        <v>14</v>
      </c>
      <c r="C8" s="1">
        <f>'June 2022'!H8</f>
        <v>265.39</v>
      </c>
      <c r="D8" s="1">
        <v>0</v>
      </c>
      <c r="E8" s="1">
        <f>'June 2022'!E8+'July 2022'!D8</f>
        <v>0</v>
      </c>
      <c r="F8" s="1">
        <v>0</v>
      </c>
      <c r="G8" s="1">
        <f>'June 2022'!G8+'July 2022'!F8</f>
        <v>0</v>
      </c>
      <c r="H8" s="1">
        <f t="shared" ref="H8:H48" si="0">C8+D8-F8</f>
        <v>265.39</v>
      </c>
      <c r="I8" s="1">
        <f>'June 2022'!N8</f>
        <v>326.10500000000002</v>
      </c>
      <c r="J8" s="1">
        <v>4.75</v>
      </c>
      <c r="K8" s="1">
        <f>'June 2022'!K8+'July 2022'!J8</f>
        <v>18.875</v>
      </c>
      <c r="L8" s="1">
        <v>0</v>
      </c>
      <c r="M8" s="1">
        <f>'June 2022'!M8+'July 2022'!L8</f>
        <v>0</v>
      </c>
      <c r="N8" s="1">
        <f t="shared" ref="N8:N48" si="1">I8+J8-L8</f>
        <v>330.85500000000002</v>
      </c>
      <c r="O8" s="1">
        <f>'June 2022'!T8</f>
        <v>66.290000000000006</v>
      </c>
      <c r="P8" s="1">
        <v>0</v>
      </c>
      <c r="Q8" s="1">
        <f>'June 2022'!Q8+'July 2022'!P8</f>
        <v>0</v>
      </c>
      <c r="R8" s="1">
        <v>0</v>
      </c>
      <c r="S8" s="1">
        <f>'June 2022'!S8+'July 2022'!R8</f>
        <v>0</v>
      </c>
      <c r="T8" s="1">
        <f t="shared" ref="T8:T48" si="2">O8+P8-R8</f>
        <v>66.290000000000006</v>
      </c>
      <c r="U8" s="1">
        <f t="shared" ref="U8:U48" si="3">H8+N8+T8</f>
        <v>662.53499999999997</v>
      </c>
    </row>
    <row r="9" spans="1:21" ht="38.25" customHeight="1">
      <c r="A9" s="71">
        <v>3</v>
      </c>
      <c r="B9" s="73" t="s">
        <v>15</v>
      </c>
      <c r="C9" s="1">
        <f>'June 2022'!H9</f>
        <v>209.16</v>
      </c>
      <c r="D9" s="1">
        <v>0</v>
      </c>
      <c r="E9" s="1">
        <f>'June 2022'!E9+'July 2022'!D9</f>
        <v>0</v>
      </c>
      <c r="F9" s="1">
        <v>0</v>
      </c>
      <c r="G9" s="1">
        <f>'June 2022'!G9+'July 2022'!F9</f>
        <v>0</v>
      </c>
      <c r="H9" s="1">
        <f t="shared" si="0"/>
        <v>209.16</v>
      </c>
      <c r="I9" s="1">
        <f>'June 2022'!N9</f>
        <v>742.42800000000011</v>
      </c>
      <c r="J9" s="1">
        <f>5.08+41.8</f>
        <v>46.879999999999995</v>
      </c>
      <c r="K9" s="1">
        <f>'June 2022'!K9+'July 2022'!J9</f>
        <v>88.279999999999987</v>
      </c>
      <c r="L9" s="1">
        <v>0</v>
      </c>
      <c r="M9" s="1">
        <f>'June 2022'!M9+'July 2022'!L9</f>
        <v>0</v>
      </c>
      <c r="N9" s="1">
        <f t="shared" si="1"/>
        <v>789.30800000000011</v>
      </c>
      <c r="O9" s="1">
        <f>'June 2022'!T9</f>
        <v>44.739999999999995</v>
      </c>
      <c r="P9" s="1">
        <v>0</v>
      </c>
      <c r="Q9" s="1">
        <f>'June 2022'!Q9+'July 2022'!P9</f>
        <v>0</v>
      </c>
      <c r="R9" s="1">
        <v>0</v>
      </c>
      <c r="S9" s="1">
        <f>'June 2022'!S9+'July 2022'!R9</f>
        <v>0</v>
      </c>
      <c r="T9" s="1">
        <f t="shared" si="2"/>
        <v>44.739999999999995</v>
      </c>
      <c r="U9" s="1">
        <f t="shared" si="3"/>
        <v>1043.2080000000001</v>
      </c>
    </row>
    <row r="10" spans="1:21" s="7" customFormat="1" ht="38.25" customHeight="1">
      <c r="A10" s="71">
        <v>4</v>
      </c>
      <c r="B10" s="73" t="s">
        <v>16</v>
      </c>
      <c r="C10" s="1">
        <f>'June 2022'!H10</f>
        <v>0</v>
      </c>
      <c r="D10" s="1">
        <v>0</v>
      </c>
      <c r="E10" s="1">
        <f>'June 2022'!E10+'July 2022'!D10</f>
        <v>0</v>
      </c>
      <c r="F10" s="1">
        <v>0</v>
      </c>
      <c r="G10" s="1">
        <f>'June 2022'!G10+'July 2022'!F10</f>
        <v>0</v>
      </c>
      <c r="H10" s="1">
        <f t="shared" si="0"/>
        <v>0</v>
      </c>
      <c r="I10" s="1">
        <f>'June 2022'!N10</f>
        <v>347.08999999999992</v>
      </c>
      <c r="J10" s="1">
        <v>0.36</v>
      </c>
      <c r="K10" s="1">
        <f>'June 2022'!K10+'July 2022'!J10</f>
        <v>5.0750000000000002</v>
      </c>
      <c r="L10" s="1">
        <v>0</v>
      </c>
      <c r="M10" s="1">
        <f>'June 2022'!M10+'July 2022'!L10</f>
        <v>0</v>
      </c>
      <c r="N10" s="1">
        <f t="shared" si="1"/>
        <v>347.44999999999993</v>
      </c>
      <c r="O10" s="1">
        <f>'June 2022'!T10</f>
        <v>0.20000000000000007</v>
      </c>
      <c r="P10" s="1">
        <v>0</v>
      </c>
      <c r="Q10" s="1">
        <f>'June 2022'!Q10+'July 2022'!P10</f>
        <v>0</v>
      </c>
      <c r="R10" s="1">
        <v>0</v>
      </c>
      <c r="S10" s="1">
        <f>'June 2022'!S10+'July 2022'!R10</f>
        <v>0</v>
      </c>
      <c r="T10" s="1">
        <f t="shared" si="2"/>
        <v>0.20000000000000007</v>
      </c>
      <c r="U10" s="1">
        <f t="shared" si="3"/>
        <v>347.64999999999992</v>
      </c>
    </row>
    <row r="11" spans="1:21" s="7" customFormat="1" ht="38.25" customHeight="1">
      <c r="A11" s="70"/>
      <c r="B11" s="72" t="s">
        <v>17</v>
      </c>
      <c r="C11" s="2">
        <f>SUM(C7:C10)</f>
        <v>564.58999999999992</v>
      </c>
      <c r="D11" s="2">
        <f t="shared" ref="D11:U11" si="4">SUM(D7:D10)</f>
        <v>0</v>
      </c>
      <c r="E11" s="2">
        <f t="shared" si="4"/>
        <v>0</v>
      </c>
      <c r="F11" s="2">
        <f t="shared" si="4"/>
        <v>41.8</v>
      </c>
      <c r="G11" s="2">
        <f t="shared" si="4"/>
        <v>41.8</v>
      </c>
      <c r="H11" s="2">
        <f t="shared" si="4"/>
        <v>522.79</v>
      </c>
      <c r="I11" s="2">
        <f t="shared" si="4"/>
        <v>2006.069</v>
      </c>
      <c r="J11" s="2">
        <f t="shared" si="4"/>
        <v>129.31</v>
      </c>
      <c r="K11" s="2">
        <f t="shared" si="4"/>
        <v>195.77899999999997</v>
      </c>
      <c r="L11" s="2">
        <f t="shared" si="4"/>
        <v>0</v>
      </c>
      <c r="M11" s="2">
        <f t="shared" si="4"/>
        <v>0</v>
      </c>
      <c r="N11" s="2">
        <f t="shared" si="4"/>
        <v>2135.3789999999999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2">
        <f t="shared" si="4"/>
        <v>119.66600000000001</v>
      </c>
      <c r="U11" s="2">
        <f t="shared" si="4"/>
        <v>2777.835</v>
      </c>
    </row>
    <row r="12" spans="1:21" ht="38.25" customHeight="1">
      <c r="A12" s="71">
        <v>5</v>
      </c>
      <c r="B12" s="73" t="s">
        <v>18</v>
      </c>
      <c r="C12" s="1">
        <f>'June 2022'!H12</f>
        <v>355.3099999999996</v>
      </c>
      <c r="D12" s="1">
        <v>0</v>
      </c>
      <c r="E12" s="1">
        <f>'June 2022'!E12+'July 2022'!D12</f>
        <v>0</v>
      </c>
      <c r="F12" s="1">
        <v>0</v>
      </c>
      <c r="G12" s="1">
        <f>'June 2022'!G12+'July 2022'!F12</f>
        <v>0</v>
      </c>
      <c r="H12" s="1">
        <f t="shared" si="0"/>
        <v>355.3099999999996</v>
      </c>
      <c r="I12" s="1">
        <f>'June 2022'!N12</f>
        <v>851.72499999999991</v>
      </c>
      <c r="J12" s="31">
        <v>0.47</v>
      </c>
      <c r="K12" s="1">
        <f>'June 2022'!K12+'July 2022'!J12</f>
        <v>47.489999999999995</v>
      </c>
      <c r="L12" s="1">
        <v>0</v>
      </c>
      <c r="M12" s="1">
        <f>'June 2022'!M12+'July 2022'!L12</f>
        <v>0</v>
      </c>
      <c r="N12" s="1">
        <f t="shared" si="1"/>
        <v>852.19499999999994</v>
      </c>
      <c r="O12" s="1">
        <f>'June 2022'!T12</f>
        <v>36.850000000000009</v>
      </c>
      <c r="P12" s="1">
        <v>0</v>
      </c>
      <c r="Q12" s="1">
        <f>'June 2022'!Q12+'July 2022'!P12</f>
        <v>0</v>
      </c>
      <c r="R12" s="1">
        <v>0</v>
      </c>
      <c r="S12" s="1">
        <f>'June 2022'!S12+'July 2022'!R12</f>
        <v>0</v>
      </c>
      <c r="T12" s="1">
        <f t="shared" si="2"/>
        <v>36.850000000000009</v>
      </c>
      <c r="U12" s="1">
        <f t="shared" si="3"/>
        <v>1244.3549999999996</v>
      </c>
    </row>
    <row r="13" spans="1:21" ht="38.25" customHeight="1">
      <c r="A13" s="71">
        <v>6</v>
      </c>
      <c r="B13" s="73" t="s">
        <v>19</v>
      </c>
      <c r="C13" s="1">
        <f>'June 2022'!H13</f>
        <v>312.23000000000013</v>
      </c>
      <c r="D13" s="1">
        <v>0</v>
      </c>
      <c r="E13" s="1">
        <f>'June 2022'!E13+'July 2022'!D13</f>
        <v>0</v>
      </c>
      <c r="F13" s="1">
        <v>0</v>
      </c>
      <c r="G13" s="1">
        <f>'June 2022'!G13+'July 2022'!F13</f>
        <v>0</v>
      </c>
      <c r="H13" s="1">
        <f t="shared" si="0"/>
        <v>312.23000000000013</v>
      </c>
      <c r="I13" s="1">
        <f>'June 2022'!N13</f>
        <v>531.64200000000028</v>
      </c>
      <c r="J13" s="31">
        <v>0.51</v>
      </c>
      <c r="K13" s="1">
        <f>'June 2022'!K13+'July 2022'!J13</f>
        <v>3.62</v>
      </c>
      <c r="L13" s="1">
        <v>0.7</v>
      </c>
      <c r="M13" s="1">
        <f>'June 2022'!M13+'July 2022'!L13</f>
        <v>0.7</v>
      </c>
      <c r="N13" s="1">
        <f t="shared" si="1"/>
        <v>531.45200000000023</v>
      </c>
      <c r="O13" s="1">
        <f>'June 2022'!T13</f>
        <v>68.39</v>
      </c>
      <c r="P13" s="1">
        <v>0</v>
      </c>
      <c r="Q13" s="1">
        <f>'June 2022'!Q13+'July 2022'!P13</f>
        <v>0</v>
      </c>
      <c r="R13" s="1">
        <v>0</v>
      </c>
      <c r="S13" s="1">
        <f>'June 2022'!S13+'July 2022'!R13</f>
        <v>0</v>
      </c>
      <c r="T13" s="1">
        <f t="shared" si="2"/>
        <v>68.39</v>
      </c>
      <c r="U13" s="1">
        <f t="shared" si="3"/>
        <v>912.07200000000034</v>
      </c>
    </row>
    <row r="14" spans="1:21" s="7" customFormat="1" ht="38.25" customHeight="1">
      <c r="A14" s="71">
        <v>7</v>
      </c>
      <c r="B14" s="73" t="s">
        <v>20</v>
      </c>
      <c r="C14" s="1">
        <f>'June 2022'!H14</f>
        <v>1216.4399999999994</v>
      </c>
      <c r="D14" s="1">
        <v>0</v>
      </c>
      <c r="E14" s="1">
        <f>'June 2022'!E14+'July 2022'!D14</f>
        <v>0</v>
      </c>
      <c r="F14" s="1">
        <v>0</v>
      </c>
      <c r="G14" s="1">
        <f>'June 2022'!G14+'July 2022'!F14</f>
        <v>0</v>
      </c>
      <c r="H14" s="1">
        <f t="shared" si="0"/>
        <v>1216.4399999999994</v>
      </c>
      <c r="I14" s="1">
        <f>'June 2022'!N14</f>
        <v>874.29800000000023</v>
      </c>
      <c r="J14" s="31">
        <f>2.75-1.95</f>
        <v>0.8</v>
      </c>
      <c r="K14" s="1">
        <f>'June 2022'!K14+'July 2022'!J14</f>
        <v>10.31</v>
      </c>
      <c r="L14" s="1">
        <v>0</v>
      </c>
      <c r="M14" s="1">
        <f>'June 2022'!M14+'July 2022'!L14</f>
        <v>0</v>
      </c>
      <c r="N14" s="1">
        <f t="shared" si="1"/>
        <v>875.09800000000018</v>
      </c>
      <c r="O14" s="1">
        <f>'June 2022'!T14</f>
        <v>61.329999999999991</v>
      </c>
      <c r="P14" s="1">
        <v>0</v>
      </c>
      <c r="Q14" s="1">
        <f>'June 2022'!Q14+'July 2022'!P14</f>
        <v>0</v>
      </c>
      <c r="R14" s="1">
        <v>0</v>
      </c>
      <c r="S14" s="1">
        <f>'June 2022'!S14+'July 2022'!R14</f>
        <v>0</v>
      </c>
      <c r="T14" s="1">
        <f t="shared" si="2"/>
        <v>61.329999999999991</v>
      </c>
      <c r="U14" s="1">
        <f t="shared" si="3"/>
        <v>2152.8679999999995</v>
      </c>
    </row>
    <row r="15" spans="1:21" s="7" customFormat="1" ht="38.25" customHeight="1">
      <c r="A15" s="70"/>
      <c r="B15" s="72" t="s">
        <v>21</v>
      </c>
      <c r="C15" s="2">
        <f>SUM(C12:C14)</f>
        <v>1883.9799999999991</v>
      </c>
      <c r="D15" s="2">
        <f t="shared" ref="D15:U15" si="5">SUM(D12:D14)</f>
        <v>0</v>
      </c>
      <c r="E15" s="2">
        <f t="shared" si="5"/>
        <v>0</v>
      </c>
      <c r="F15" s="2">
        <f t="shared" si="5"/>
        <v>0</v>
      </c>
      <c r="G15" s="2">
        <f t="shared" si="5"/>
        <v>0</v>
      </c>
      <c r="H15" s="2">
        <f t="shared" si="5"/>
        <v>1883.9799999999991</v>
      </c>
      <c r="I15" s="2">
        <f t="shared" si="5"/>
        <v>2257.6650000000004</v>
      </c>
      <c r="J15" s="2">
        <f t="shared" si="5"/>
        <v>1.78</v>
      </c>
      <c r="K15" s="2">
        <f t="shared" si="5"/>
        <v>61.419999999999995</v>
      </c>
      <c r="L15" s="2">
        <f t="shared" si="5"/>
        <v>0.7</v>
      </c>
      <c r="M15" s="2">
        <f t="shared" si="5"/>
        <v>0.7</v>
      </c>
      <c r="N15" s="2">
        <f t="shared" si="5"/>
        <v>2258.7450000000003</v>
      </c>
      <c r="O15" s="2">
        <f t="shared" si="5"/>
        <v>166.57</v>
      </c>
      <c r="P15" s="2">
        <f t="shared" si="5"/>
        <v>0</v>
      </c>
      <c r="Q15" s="2">
        <f t="shared" si="5"/>
        <v>0</v>
      </c>
      <c r="R15" s="2">
        <f t="shared" si="5"/>
        <v>0</v>
      </c>
      <c r="S15" s="2">
        <f t="shared" si="5"/>
        <v>0</v>
      </c>
      <c r="T15" s="2">
        <f t="shared" si="5"/>
        <v>166.57</v>
      </c>
      <c r="U15" s="2">
        <f t="shared" si="5"/>
        <v>4309.2949999999992</v>
      </c>
    </row>
    <row r="16" spans="1:21" s="16" customFormat="1" ht="38.25" customHeight="1">
      <c r="A16" s="71">
        <v>8</v>
      </c>
      <c r="B16" s="73" t="s">
        <v>22</v>
      </c>
      <c r="C16" s="1">
        <f>'June 2022'!H16</f>
        <v>987.30400000000031</v>
      </c>
      <c r="D16" s="1">
        <v>0</v>
      </c>
      <c r="E16" s="1">
        <f>'June 2022'!E16+'July 2022'!D16</f>
        <v>1.21</v>
      </c>
      <c r="F16" s="1">
        <v>11</v>
      </c>
      <c r="G16" s="1">
        <f>'June 2022'!G16+'July 2022'!F16</f>
        <v>18.75</v>
      </c>
      <c r="H16" s="1">
        <f t="shared" si="0"/>
        <v>976.30400000000031</v>
      </c>
      <c r="I16" s="1">
        <f>'June 2022'!N16</f>
        <v>351.76599999999996</v>
      </c>
      <c r="J16" s="1">
        <v>2.58</v>
      </c>
      <c r="K16" s="1">
        <f>'June 2022'!K16+'July 2022'!J16</f>
        <v>55.3</v>
      </c>
      <c r="L16" s="1">
        <v>0</v>
      </c>
      <c r="M16" s="1">
        <f>'June 2022'!M16+'July 2022'!L16</f>
        <v>0</v>
      </c>
      <c r="N16" s="1">
        <f t="shared" si="1"/>
        <v>354.34599999999995</v>
      </c>
      <c r="O16" s="1">
        <f>'June 2022'!T16</f>
        <v>177.41200000000003</v>
      </c>
      <c r="P16" s="1">
        <v>0</v>
      </c>
      <c r="Q16" s="1">
        <f>'June 2022'!Q16+'July 2022'!P16</f>
        <v>0</v>
      </c>
      <c r="R16" s="1">
        <v>0</v>
      </c>
      <c r="S16" s="1">
        <f>'June 2022'!S16+'July 2022'!R16</f>
        <v>0</v>
      </c>
      <c r="T16" s="1">
        <f t="shared" si="2"/>
        <v>177.41200000000003</v>
      </c>
      <c r="U16" s="1">
        <f t="shared" si="3"/>
        <v>1508.0620000000004</v>
      </c>
    </row>
    <row r="17" spans="1:23" ht="61.5" customHeight="1">
      <c r="A17" s="17">
        <v>9</v>
      </c>
      <c r="B17" s="26" t="s">
        <v>23</v>
      </c>
      <c r="C17" s="1">
        <f>'June 2022'!H17</f>
        <v>2.6759999999999478</v>
      </c>
      <c r="D17" s="1">
        <v>0</v>
      </c>
      <c r="E17" s="1">
        <f>'June 2022'!E17+'July 2022'!D17</f>
        <v>0</v>
      </c>
      <c r="F17" s="1">
        <v>0</v>
      </c>
      <c r="G17" s="1">
        <f>'June 2022'!G17+'July 2022'!F17</f>
        <v>3.74</v>
      </c>
      <c r="H17" s="1">
        <f t="shared" si="0"/>
        <v>2.6759999999999478</v>
      </c>
      <c r="I17" s="1">
        <f>'June 2022'!N17</f>
        <v>562.09000000000015</v>
      </c>
      <c r="J17" s="1">
        <v>0.93</v>
      </c>
      <c r="K17" s="1">
        <f>'June 2022'!K17+'July 2022'!J17</f>
        <v>51.27</v>
      </c>
      <c r="L17" s="1">
        <v>0</v>
      </c>
      <c r="M17" s="1">
        <f>'June 2022'!M17+'July 2022'!L17</f>
        <v>0</v>
      </c>
      <c r="N17" s="1">
        <f t="shared" si="1"/>
        <v>563.0200000000001</v>
      </c>
      <c r="O17" s="1">
        <f>'June 2022'!T17</f>
        <v>1.2400000000000002</v>
      </c>
      <c r="P17" s="1">
        <v>0</v>
      </c>
      <c r="Q17" s="1">
        <f>'June 2022'!Q17+'July 2022'!P17</f>
        <v>0.61</v>
      </c>
      <c r="R17" s="1">
        <v>0</v>
      </c>
      <c r="S17" s="1">
        <f>'June 2022'!S17+'July 2022'!R17</f>
        <v>5.7</v>
      </c>
      <c r="T17" s="1">
        <f t="shared" si="2"/>
        <v>1.2400000000000002</v>
      </c>
      <c r="U17" s="1">
        <f t="shared" si="3"/>
        <v>566.93600000000004</v>
      </c>
    </row>
    <row r="18" spans="1:23" s="7" customFormat="1" ht="38.25" customHeight="1">
      <c r="A18" s="71">
        <v>10</v>
      </c>
      <c r="B18" s="73" t="s">
        <v>24</v>
      </c>
      <c r="C18" s="1">
        <f>'June 2022'!H18</f>
        <v>136.0160000000001</v>
      </c>
      <c r="D18" s="1">
        <v>0</v>
      </c>
      <c r="E18" s="1">
        <f>'June 2022'!E18+'July 2022'!D18</f>
        <v>0.24</v>
      </c>
      <c r="F18" s="1">
        <v>0</v>
      </c>
      <c r="G18" s="1">
        <f>'June 2022'!G18+'July 2022'!F18</f>
        <v>0</v>
      </c>
      <c r="H18" s="1">
        <f t="shared" si="0"/>
        <v>136.0160000000001</v>
      </c>
      <c r="I18" s="1">
        <f>'June 2022'!N18</f>
        <v>488.25699999999995</v>
      </c>
      <c r="J18" s="1">
        <f>0.67+0.93</f>
        <v>1.6</v>
      </c>
      <c r="K18" s="1">
        <f>'June 2022'!K18+'July 2022'!J18</f>
        <v>4.32</v>
      </c>
      <c r="L18" s="1">
        <v>0</v>
      </c>
      <c r="M18" s="1">
        <f>'June 2022'!M18+'July 2022'!L18</f>
        <v>0</v>
      </c>
      <c r="N18" s="1">
        <f t="shared" si="1"/>
        <v>489.85699999999997</v>
      </c>
      <c r="O18" s="1">
        <f>'June 2022'!T18</f>
        <v>38.869999999999997</v>
      </c>
      <c r="P18" s="1">
        <v>0</v>
      </c>
      <c r="Q18" s="1">
        <f>'June 2022'!Q18+'July 2022'!P18</f>
        <v>0</v>
      </c>
      <c r="R18" s="1">
        <v>0</v>
      </c>
      <c r="S18" s="1">
        <f>'June 2022'!S18+'July 2022'!R18</f>
        <v>0</v>
      </c>
      <c r="T18" s="1">
        <f t="shared" si="2"/>
        <v>38.869999999999997</v>
      </c>
      <c r="U18" s="1">
        <f t="shared" si="3"/>
        <v>664.74300000000005</v>
      </c>
    </row>
    <row r="19" spans="1:23" s="7" customFormat="1" ht="38.25" customHeight="1">
      <c r="A19" s="70"/>
      <c r="B19" s="72" t="s">
        <v>25</v>
      </c>
      <c r="C19" s="2">
        <f>SUM(C16:C18)</f>
        <v>1125.9960000000003</v>
      </c>
      <c r="D19" s="2">
        <f t="shared" ref="D19:U19" si="6">SUM(D16:D18)</f>
        <v>0</v>
      </c>
      <c r="E19" s="2">
        <f t="shared" si="6"/>
        <v>1.45</v>
      </c>
      <c r="F19" s="2">
        <f t="shared" si="6"/>
        <v>11</v>
      </c>
      <c r="G19" s="2">
        <f t="shared" si="6"/>
        <v>22.490000000000002</v>
      </c>
      <c r="H19" s="2">
        <f t="shared" si="6"/>
        <v>1114.9960000000003</v>
      </c>
      <c r="I19" s="2">
        <f t="shared" si="6"/>
        <v>1402.1130000000001</v>
      </c>
      <c r="J19" s="2">
        <f t="shared" si="6"/>
        <v>5.1100000000000003</v>
      </c>
      <c r="K19" s="2">
        <f t="shared" si="6"/>
        <v>110.88999999999999</v>
      </c>
      <c r="L19" s="2">
        <f t="shared" si="6"/>
        <v>0</v>
      </c>
      <c r="M19" s="2">
        <f t="shared" si="6"/>
        <v>0</v>
      </c>
      <c r="N19" s="2">
        <f t="shared" si="6"/>
        <v>1407.223</v>
      </c>
      <c r="O19" s="2">
        <f t="shared" si="6"/>
        <v>217.52200000000005</v>
      </c>
      <c r="P19" s="2">
        <f t="shared" si="6"/>
        <v>0</v>
      </c>
      <c r="Q19" s="2">
        <f t="shared" si="6"/>
        <v>0.61</v>
      </c>
      <c r="R19" s="2">
        <f t="shared" si="6"/>
        <v>0</v>
      </c>
      <c r="S19" s="2">
        <f t="shared" si="6"/>
        <v>5.7</v>
      </c>
      <c r="T19" s="2">
        <f t="shared" si="6"/>
        <v>217.52200000000005</v>
      </c>
      <c r="U19" s="2">
        <f t="shared" si="6"/>
        <v>2739.7410000000004</v>
      </c>
    </row>
    <row r="20" spans="1:23" ht="38.25" customHeight="1">
      <c r="A20" s="71">
        <v>11</v>
      </c>
      <c r="B20" s="73" t="s">
        <v>26</v>
      </c>
      <c r="C20" s="1">
        <f>'June 2022'!H20</f>
        <v>607.00999999999988</v>
      </c>
      <c r="D20" s="1">
        <v>0.12</v>
      </c>
      <c r="E20" s="1">
        <f>'June 2022'!E20+'July 2022'!D20</f>
        <v>1.4700000000000002</v>
      </c>
      <c r="F20" s="1">
        <v>0</v>
      </c>
      <c r="G20" s="1">
        <f>'June 2022'!G20+'July 2022'!F20</f>
        <v>24.91</v>
      </c>
      <c r="H20" s="1">
        <f t="shared" si="0"/>
        <v>607.12999999999988</v>
      </c>
      <c r="I20" s="1">
        <f>'June 2022'!N20</f>
        <v>719.51800000000014</v>
      </c>
      <c r="J20" s="1">
        <v>0.71</v>
      </c>
      <c r="K20" s="1">
        <f>'June 2022'!K20+'July 2022'!J20</f>
        <v>322.08</v>
      </c>
      <c r="L20" s="1">
        <v>0</v>
      </c>
      <c r="M20" s="1">
        <f>'June 2022'!M20+'July 2022'!L20</f>
        <v>1.04</v>
      </c>
      <c r="N20" s="1">
        <f t="shared" si="1"/>
        <v>720.22800000000018</v>
      </c>
      <c r="O20" s="1">
        <f>'June 2022'!T20</f>
        <v>37.580000000000005</v>
      </c>
      <c r="P20" s="1">
        <v>0</v>
      </c>
      <c r="Q20" s="1">
        <f>'June 2022'!Q20+'July 2022'!P20</f>
        <v>0</v>
      </c>
      <c r="R20" s="1">
        <v>0</v>
      </c>
      <c r="S20" s="1">
        <f>'June 2022'!S20+'July 2022'!R20</f>
        <v>2.77</v>
      </c>
      <c r="T20" s="1">
        <f t="shared" si="2"/>
        <v>37.580000000000005</v>
      </c>
      <c r="U20" s="1">
        <f t="shared" si="3"/>
        <v>1364.9380000000001</v>
      </c>
      <c r="W20" s="145"/>
    </row>
    <row r="21" spans="1:23" ht="38.25" customHeight="1">
      <c r="A21" s="71">
        <v>12</v>
      </c>
      <c r="B21" s="73" t="s">
        <v>27</v>
      </c>
      <c r="C21" s="1">
        <f>'June 2022'!H21</f>
        <v>22.51</v>
      </c>
      <c r="D21" s="1">
        <v>0</v>
      </c>
      <c r="E21" s="1">
        <f>'June 2022'!E21+'July 2022'!D21</f>
        <v>0</v>
      </c>
      <c r="F21" s="1">
        <v>0</v>
      </c>
      <c r="G21" s="1">
        <f>'June 2022'!G21+'July 2022'!F21</f>
        <v>0</v>
      </c>
      <c r="H21" s="1">
        <f t="shared" si="0"/>
        <v>22.51</v>
      </c>
      <c r="I21" s="1">
        <f>'June 2022'!N21</f>
        <v>416.93700000000001</v>
      </c>
      <c r="J21" s="1">
        <v>1.25</v>
      </c>
      <c r="K21" s="1">
        <f>'June 2022'!K21+'July 2022'!J21</f>
        <v>20.07</v>
      </c>
      <c r="L21" s="1">
        <v>0</v>
      </c>
      <c r="M21" s="1">
        <f>'June 2022'!M21+'July 2022'!L21</f>
        <v>0</v>
      </c>
      <c r="N21" s="1">
        <f t="shared" si="1"/>
        <v>418.18700000000001</v>
      </c>
      <c r="O21" s="1">
        <f>'June 2022'!T21</f>
        <v>19.369999999999997</v>
      </c>
      <c r="P21" s="1">
        <v>0.12</v>
      </c>
      <c r="Q21" s="1">
        <f>'June 2022'!Q21+'July 2022'!P21</f>
        <v>0.12</v>
      </c>
      <c r="R21" s="1">
        <v>0</v>
      </c>
      <c r="S21" s="1">
        <f>'June 2022'!S21+'July 2022'!R21</f>
        <v>0</v>
      </c>
      <c r="T21" s="1">
        <f t="shared" si="2"/>
        <v>19.489999999999998</v>
      </c>
      <c r="U21" s="1">
        <f t="shared" si="3"/>
        <v>460.18700000000001</v>
      </c>
      <c r="W21" s="145"/>
    </row>
    <row r="22" spans="1:23" s="7" customFormat="1" ht="38.25" customHeight="1">
      <c r="A22" s="71">
        <v>13</v>
      </c>
      <c r="B22" s="73" t="s">
        <v>28</v>
      </c>
      <c r="C22" s="1">
        <f>'June 2022'!H22</f>
        <v>22.430000000000021</v>
      </c>
      <c r="D22" s="1">
        <v>0</v>
      </c>
      <c r="E22" s="1">
        <f>'June 2022'!E22+'July 2022'!D22</f>
        <v>0</v>
      </c>
      <c r="F22" s="1">
        <v>0</v>
      </c>
      <c r="G22" s="1">
        <f>'June 2022'!G22+'July 2022'!F22</f>
        <v>0</v>
      </c>
      <c r="H22" s="1">
        <f t="shared" si="0"/>
        <v>22.430000000000021</v>
      </c>
      <c r="I22" s="1">
        <f>'June 2022'!N22</f>
        <v>691.79</v>
      </c>
      <c r="J22" s="1">
        <v>0.37</v>
      </c>
      <c r="K22" s="1">
        <f>'June 2022'!K22+'July 2022'!J22</f>
        <v>3.27</v>
      </c>
      <c r="L22" s="1">
        <v>0</v>
      </c>
      <c r="M22" s="1">
        <f>'June 2022'!M22+'July 2022'!L22</f>
        <v>0.08</v>
      </c>
      <c r="N22" s="1">
        <f t="shared" si="1"/>
        <v>692.16</v>
      </c>
      <c r="O22" s="1">
        <f>'June 2022'!T22</f>
        <v>0.60000000000000098</v>
      </c>
      <c r="P22" s="1">
        <v>0</v>
      </c>
      <c r="Q22" s="1">
        <f>'June 2022'!Q22+'July 2022'!P22</f>
        <v>0</v>
      </c>
      <c r="R22" s="1">
        <v>0</v>
      </c>
      <c r="S22" s="1">
        <f>'June 2022'!S22+'July 2022'!R22</f>
        <v>0</v>
      </c>
      <c r="T22" s="1">
        <f t="shared" si="2"/>
        <v>0.60000000000000098</v>
      </c>
      <c r="U22" s="1">
        <f t="shared" si="3"/>
        <v>715.19</v>
      </c>
      <c r="W22" s="145"/>
    </row>
    <row r="23" spans="1:23" s="7" customFormat="1" ht="38.25" customHeight="1">
      <c r="A23" s="71">
        <v>14</v>
      </c>
      <c r="B23" s="73" t="s">
        <v>29</v>
      </c>
      <c r="C23" s="1">
        <f>'June 2022'!H23</f>
        <v>430.64</v>
      </c>
      <c r="D23" s="1">
        <v>0</v>
      </c>
      <c r="E23" s="1">
        <f>'June 2022'!E23+'July 2022'!D23</f>
        <v>3.4</v>
      </c>
      <c r="F23" s="1">
        <v>0</v>
      </c>
      <c r="G23" s="1">
        <f>'June 2022'!G23+'July 2022'!F23</f>
        <v>0</v>
      </c>
      <c r="H23" s="1">
        <f t="shared" si="0"/>
        <v>430.64</v>
      </c>
      <c r="I23" s="1">
        <f>'June 2022'!N23</f>
        <v>118.86499999999999</v>
      </c>
      <c r="J23" s="1">
        <v>0.81</v>
      </c>
      <c r="K23" s="1">
        <f>'June 2022'!K23+'July 2022'!J23</f>
        <v>17.79</v>
      </c>
      <c r="L23" s="1">
        <v>0</v>
      </c>
      <c r="M23" s="1">
        <f>'June 2022'!M23+'July 2022'!L23</f>
        <v>0</v>
      </c>
      <c r="N23" s="1">
        <f t="shared" si="1"/>
        <v>119.675</v>
      </c>
      <c r="O23" s="1">
        <f>'June 2022'!T23</f>
        <v>22.5</v>
      </c>
      <c r="P23" s="1">
        <v>0</v>
      </c>
      <c r="Q23" s="1">
        <f>'June 2022'!Q23+'July 2022'!P23</f>
        <v>0</v>
      </c>
      <c r="R23" s="1">
        <v>0</v>
      </c>
      <c r="S23" s="1">
        <f>'June 2022'!S23+'July 2022'!R23</f>
        <v>0</v>
      </c>
      <c r="T23" s="1">
        <f t="shared" si="2"/>
        <v>22.5</v>
      </c>
      <c r="U23" s="1">
        <f t="shared" si="3"/>
        <v>572.81499999999994</v>
      </c>
      <c r="W23" s="145"/>
    </row>
    <row r="24" spans="1:23" s="7" customFormat="1" ht="38.25" customHeight="1">
      <c r="A24" s="70"/>
      <c r="B24" s="72" t="s">
        <v>30</v>
      </c>
      <c r="C24" s="2">
        <f>SUM(C20:C23)</f>
        <v>1082.5899999999999</v>
      </c>
      <c r="D24" s="2">
        <f t="shared" ref="D24:U24" si="7">SUM(D20:D23)</f>
        <v>0.12</v>
      </c>
      <c r="E24" s="2">
        <f t="shared" si="7"/>
        <v>4.87</v>
      </c>
      <c r="F24" s="2">
        <f t="shared" si="7"/>
        <v>0</v>
      </c>
      <c r="G24" s="2">
        <f t="shared" si="7"/>
        <v>24.91</v>
      </c>
      <c r="H24" s="2">
        <f t="shared" si="7"/>
        <v>1082.71</v>
      </c>
      <c r="I24" s="2">
        <f t="shared" si="7"/>
        <v>1947.1100000000001</v>
      </c>
      <c r="J24" s="2">
        <f t="shared" si="7"/>
        <v>3.14</v>
      </c>
      <c r="K24" s="2">
        <f t="shared" si="7"/>
        <v>363.21</v>
      </c>
      <c r="L24" s="2">
        <f t="shared" si="7"/>
        <v>0</v>
      </c>
      <c r="M24" s="2">
        <f t="shared" si="7"/>
        <v>1.1200000000000001</v>
      </c>
      <c r="N24" s="2">
        <f t="shared" si="7"/>
        <v>1950.2500000000002</v>
      </c>
      <c r="O24" s="2">
        <f t="shared" si="7"/>
        <v>80.050000000000011</v>
      </c>
      <c r="P24" s="2">
        <f t="shared" si="7"/>
        <v>0.12</v>
      </c>
      <c r="Q24" s="2">
        <f t="shared" si="7"/>
        <v>0.12</v>
      </c>
      <c r="R24" s="2">
        <f t="shared" si="7"/>
        <v>0</v>
      </c>
      <c r="S24" s="2">
        <f t="shared" si="7"/>
        <v>2.77</v>
      </c>
      <c r="T24" s="2">
        <f t="shared" si="7"/>
        <v>80.170000000000016</v>
      </c>
      <c r="U24" s="2">
        <f t="shared" si="7"/>
        <v>3113.13</v>
      </c>
    </row>
    <row r="25" spans="1:23" s="7" customFormat="1" ht="38.25" customHeight="1">
      <c r="A25" s="70"/>
      <c r="B25" s="72" t="s">
        <v>31</v>
      </c>
      <c r="C25" s="2">
        <f>C24+C19+C15+C11</f>
        <v>4657.155999999999</v>
      </c>
      <c r="D25" s="2">
        <f t="shared" ref="D25:U25" si="8">D24+D19+D15+D11</f>
        <v>0.12</v>
      </c>
      <c r="E25" s="2">
        <f t="shared" si="8"/>
        <v>6.32</v>
      </c>
      <c r="F25" s="2">
        <f t="shared" si="8"/>
        <v>52.8</v>
      </c>
      <c r="G25" s="2">
        <f t="shared" si="8"/>
        <v>89.2</v>
      </c>
      <c r="H25" s="2">
        <f t="shared" si="8"/>
        <v>4604.4759999999987</v>
      </c>
      <c r="I25" s="2">
        <f t="shared" si="8"/>
        <v>7612.9570000000003</v>
      </c>
      <c r="J25" s="2">
        <f t="shared" si="8"/>
        <v>139.34</v>
      </c>
      <c r="K25" s="2">
        <f t="shared" si="8"/>
        <v>731.29899999999998</v>
      </c>
      <c r="L25" s="2">
        <f t="shared" si="8"/>
        <v>0.7</v>
      </c>
      <c r="M25" s="2">
        <f t="shared" si="8"/>
        <v>1.82</v>
      </c>
      <c r="N25" s="2">
        <f t="shared" si="8"/>
        <v>7751.5970000000007</v>
      </c>
      <c r="O25" s="2">
        <f t="shared" si="8"/>
        <v>583.80800000000011</v>
      </c>
      <c r="P25" s="2">
        <f t="shared" si="8"/>
        <v>0.12</v>
      </c>
      <c r="Q25" s="2">
        <f t="shared" si="8"/>
        <v>0.73</v>
      </c>
      <c r="R25" s="2">
        <f t="shared" si="8"/>
        <v>0</v>
      </c>
      <c r="S25" s="2">
        <f t="shared" si="8"/>
        <v>9.48</v>
      </c>
      <c r="T25" s="2">
        <f t="shared" si="8"/>
        <v>583.92800000000011</v>
      </c>
      <c r="U25" s="2">
        <f t="shared" si="8"/>
        <v>12940.001</v>
      </c>
    </row>
    <row r="26" spans="1:23" ht="38.25" customHeight="1">
      <c r="A26" s="71">
        <v>15</v>
      </c>
      <c r="B26" s="73" t="s">
        <v>32</v>
      </c>
      <c r="C26" s="1">
        <f>'June 2022'!H26</f>
        <v>1568.3199999999997</v>
      </c>
      <c r="D26" s="1">
        <v>10.63</v>
      </c>
      <c r="E26" s="1">
        <f>'June 2022'!E26+'July 2022'!D26</f>
        <v>25.97</v>
      </c>
      <c r="F26" s="1">
        <v>0</v>
      </c>
      <c r="G26" s="1">
        <f>'June 2022'!G26+'July 2022'!F26</f>
        <v>0</v>
      </c>
      <c r="H26" s="1">
        <f t="shared" si="0"/>
        <v>1578.9499999999998</v>
      </c>
      <c r="I26" s="1">
        <f>'June 2022'!N26</f>
        <v>67.53</v>
      </c>
      <c r="J26" s="1">
        <v>0</v>
      </c>
      <c r="K26" s="1">
        <f>'June 2022'!K26+'July 2022'!J26</f>
        <v>0.2</v>
      </c>
      <c r="L26" s="1">
        <v>0</v>
      </c>
      <c r="M26" s="1">
        <f>'June 2022'!M26+'July 2022'!L26</f>
        <v>0</v>
      </c>
      <c r="N26" s="1">
        <f t="shared" si="1"/>
        <v>67.53</v>
      </c>
      <c r="O26" s="1">
        <f>'June 2022'!T26</f>
        <v>16.11</v>
      </c>
      <c r="P26" s="1">
        <v>0</v>
      </c>
      <c r="Q26" s="1">
        <f>'June 2022'!Q26+'July 2022'!P26</f>
        <v>0</v>
      </c>
      <c r="R26" s="1">
        <v>0</v>
      </c>
      <c r="S26" s="1">
        <f>'June 2022'!S26+'July 2022'!R26</f>
        <v>0</v>
      </c>
      <c r="T26" s="1">
        <f t="shared" si="2"/>
        <v>16.11</v>
      </c>
      <c r="U26" s="1">
        <f t="shared" si="3"/>
        <v>1662.5899999999997</v>
      </c>
    </row>
    <row r="27" spans="1:23" s="7" customFormat="1" ht="38.25" customHeight="1">
      <c r="A27" s="71">
        <v>16</v>
      </c>
      <c r="B27" s="73" t="s">
        <v>33</v>
      </c>
      <c r="C27" s="1">
        <f>'June 2022'!H27</f>
        <v>5615.3150000000023</v>
      </c>
      <c r="D27" s="1">
        <v>17.47</v>
      </c>
      <c r="E27" s="1">
        <f>'June 2022'!E27+'July 2022'!D27</f>
        <v>56.08</v>
      </c>
      <c r="F27" s="1">
        <v>0</v>
      </c>
      <c r="G27" s="1">
        <f>'June 2022'!G27+'July 2022'!F27</f>
        <v>0</v>
      </c>
      <c r="H27" s="1">
        <f t="shared" si="0"/>
        <v>5632.7850000000026</v>
      </c>
      <c r="I27" s="1">
        <f>'June 2022'!N27</f>
        <v>597.69799999999998</v>
      </c>
      <c r="J27" s="1">
        <v>3.75</v>
      </c>
      <c r="K27" s="1">
        <f>'June 2022'!K27+'July 2022'!J27</f>
        <v>7.26</v>
      </c>
      <c r="L27" s="1">
        <v>0</v>
      </c>
      <c r="M27" s="1">
        <f>'June 2022'!M27+'July 2022'!L27</f>
        <v>0</v>
      </c>
      <c r="N27" s="1">
        <f t="shared" si="1"/>
        <v>601.44799999999998</v>
      </c>
      <c r="O27" s="1">
        <f>'June 2022'!T27</f>
        <v>33.49</v>
      </c>
      <c r="P27" s="1">
        <v>0</v>
      </c>
      <c r="Q27" s="1">
        <f>'June 2022'!Q27+'July 2022'!P27</f>
        <v>0</v>
      </c>
      <c r="R27" s="1">
        <v>0</v>
      </c>
      <c r="S27" s="1">
        <f>'June 2022'!S27+'July 2022'!R27</f>
        <v>0</v>
      </c>
      <c r="T27" s="1">
        <f t="shared" si="2"/>
        <v>33.49</v>
      </c>
      <c r="U27" s="1">
        <f t="shared" si="3"/>
        <v>6267.7230000000027</v>
      </c>
    </row>
    <row r="28" spans="1:23" s="7" customFormat="1" ht="38.25" customHeight="1">
      <c r="A28" s="70"/>
      <c r="B28" s="72" t="s">
        <v>34</v>
      </c>
      <c r="C28" s="2">
        <f>SUM(C26:C27)</f>
        <v>7183.635000000002</v>
      </c>
      <c r="D28" s="2">
        <f t="shared" ref="D28:U28" si="9">SUM(D26:D27)</f>
        <v>28.1</v>
      </c>
      <c r="E28" s="2">
        <f t="shared" si="9"/>
        <v>82.05</v>
      </c>
      <c r="F28" s="2">
        <f t="shared" si="9"/>
        <v>0</v>
      </c>
      <c r="G28" s="2">
        <f t="shared" si="9"/>
        <v>0</v>
      </c>
      <c r="H28" s="2">
        <f t="shared" si="9"/>
        <v>7211.7350000000024</v>
      </c>
      <c r="I28" s="2">
        <f t="shared" si="9"/>
        <v>665.22799999999995</v>
      </c>
      <c r="J28" s="2">
        <f t="shared" si="9"/>
        <v>3.75</v>
      </c>
      <c r="K28" s="2">
        <f t="shared" si="9"/>
        <v>7.46</v>
      </c>
      <c r="L28" s="2">
        <f t="shared" si="9"/>
        <v>0</v>
      </c>
      <c r="M28" s="2">
        <f t="shared" si="9"/>
        <v>0</v>
      </c>
      <c r="N28" s="2">
        <f t="shared" si="9"/>
        <v>668.97799999999995</v>
      </c>
      <c r="O28" s="2">
        <f t="shared" si="9"/>
        <v>49.6</v>
      </c>
      <c r="P28" s="2">
        <f t="shared" si="9"/>
        <v>0</v>
      </c>
      <c r="Q28" s="2">
        <f t="shared" si="9"/>
        <v>0</v>
      </c>
      <c r="R28" s="2">
        <f t="shared" si="9"/>
        <v>0</v>
      </c>
      <c r="S28" s="2">
        <f t="shared" si="9"/>
        <v>0</v>
      </c>
      <c r="T28" s="2">
        <f t="shared" si="9"/>
        <v>49.6</v>
      </c>
      <c r="U28" s="2">
        <f t="shared" si="9"/>
        <v>7930.3130000000019</v>
      </c>
    </row>
    <row r="29" spans="1:23" ht="38.25" customHeight="1">
      <c r="A29" s="71">
        <v>17</v>
      </c>
      <c r="B29" s="73" t="s">
        <v>35</v>
      </c>
      <c r="C29" s="1">
        <f>'June 2022'!H29</f>
        <v>4672.3480000000009</v>
      </c>
      <c r="D29" s="1">
        <v>3.1</v>
      </c>
      <c r="E29" s="1">
        <f>'June 2022'!E29+'July 2022'!D29</f>
        <v>21.98</v>
      </c>
      <c r="F29" s="1">
        <v>0</v>
      </c>
      <c r="G29" s="1">
        <f>'June 2022'!G29+'July 2022'!F29</f>
        <v>0</v>
      </c>
      <c r="H29" s="1">
        <f t="shared" si="0"/>
        <v>4675.4480000000012</v>
      </c>
      <c r="I29" s="1">
        <f>'June 2022'!N29</f>
        <v>119.39</v>
      </c>
      <c r="J29" s="1">
        <v>0</v>
      </c>
      <c r="K29" s="1">
        <f>'June 2022'!K29+'July 2022'!J29</f>
        <v>0</v>
      </c>
      <c r="L29" s="1">
        <v>0</v>
      </c>
      <c r="M29" s="1">
        <f>'June 2022'!M29+'July 2022'!L29</f>
        <v>0</v>
      </c>
      <c r="N29" s="1">
        <f t="shared" si="1"/>
        <v>119.39</v>
      </c>
      <c r="O29" s="1">
        <f>'June 2022'!T29</f>
        <v>34.52000000000001</v>
      </c>
      <c r="P29" s="1">
        <v>0</v>
      </c>
      <c r="Q29" s="1">
        <f>'June 2022'!Q29+'July 2022'!P29</f>
        <v>0</v>
      </c>
      <c r="R29" s="1">
        <v>0</v>
      </c>
      <c r="S29" s="1">
        <f>'June 2022'!S29+'July 2022'!R29</f>
        <v>23.2</v>
      </c>
      <c r="T29" s="1">
        <f t="shared" si="2"/>
        <v>34.52000000000001</v>
      </c>
      <c r="U29" s="1">
        <f t="shared" si="3"/>
        <v>4829.358000000002</v>
      </c>
      <c r="W29" s="146"/>
    </row>
    <row r="30" spans="1:23" ht="54.75" customHeight="1">
      <c r="A30" s="71">
        <v>18</v>
      </c>
      <c r="B30" s="73" t="s">
        <v>36</v>
      </c>
      <c r="C30" s="1">
        <f>'June 2022'!H30</f>
        <v>3640.3199999999997</v>
      </c>
      <c r="D30" s="1">
        <v>6.31</v>
      </c>
      <c r="E30" s="1">
        <f>'June 2022'!E30+'July 2022'!D30</f>
        <v>34.290000000000006</v>
      </c>
      <c r="F30" s="1">
        <v>0</v>
      </c>
      <c r="G30" s="1">
        <f>'June 2022'!G30+'July 2022'!F30</f>
        <v>0</v>
      </c>
      <c r="H30" s="1">
        <f t="shared" si="0"/>
        <v>3646.6299999999997</v>
      </c>
      <c r="I30" s="1">
        <f>'June 2022'!N30</f>
        <v>110.587</v>
      </c>
      <c r="J30" s="1">
        <v>0</v>
      </c>
      <c r="K30" s="1">
        <f>'June 2022'!K30+'July 2022'!J30</f>
        <v>0</v>
      </c>
      <c r="L30" s="1">
        <v>0</v>
      </c>
      <c r="M30" s="1">
        <f>'June 2022'!M30+'July 2022'!L30</f>
        <v>0</v>
      </c>
      <c r="N30" s="1">
        <f t="shared" si="1"/>
        <v>110.587</v>
      </c>
      <c r="O30" s="1">
        <f>'June 2022'!T30</f>
        <v>23.25</v>
      </c>
      <c r="P30" s="1">
        <v>0</v>
      </c>
      <c r="Q30" s="1">
        <f>'June 2022'!Q30+'July 2022'!P30</f>
        <v>0</v>
      </c>
      <c r="R30" s="1">
        <v>0</v>
      </c>
      <c r="S30" s="1">
        <f>'June 2022'!S30+'July 2022'!R30</f>
        <v>0</v>
      </c>
      <c r="T30" s="1">
        <f t="shared" si="2"/>
        <v>23.25</v>
      </c>
      <c r="U30" s="1">
        <f t="shared" si="3"/>
        <v>3780.4669999999996</v>
      </c>
      <c r="W30" s="146"/>
    </row>
    <row r="31" spans="1:23" s="7" customFormat="1" ht="44.25" customHeight="1">
      <c r="A31" s="71">
        <v>19</v>
      </c>
      <c r="B31" s="73" t="s">
        <v>37</v>
      </c>
      <c r="C31" s="1">
        <f>'June 2022'!H31</f>
        <v>4678.3290000000006</v>
      </c>
      <c r="D31" s="1">
        <v>0.56999999999999995</v>
      </c>
      <c r="E31" s="1">
        <f>'June 2022'!E31+'July 2022'!D31</f>
        <v>13.32</v>
      </c>
      <c r="F31" s="1">
        <v>0</v>
      </c>
      <c r="G31" s="1">
        <f>'June 2022'!G31+'July 2022'!F31</f>
        <v>0</v>
      </c>
      <c r="H31" s="1">
        <f t="shared" si="0"/>
        <v>4678.8990000000003</v>
      </c>
      <c r="I31" s="1">
        <f>'June 2022'!N31</f>
        <v>107.63000000000002</v>
      </c>
      <c r="J31" s="1">
        <v>0</v>
      </c>
      <c r="K31" s="1">
        <f>'June 2022'!K31+'July 2022'!J31</f>
        <v>0</v>
      </c>
      <c r="L31" s="1">
        <v>0</v>
      </c>
      <c r="M31" s="1">
        <f>'June 2022'!M31+'July 2022'!L31</f>
        <v>0</v>
      </c>
      <c r="N31" s="1">
        <f t="shared" si="1"/>
        <v>107.63000000000002</v>
      </c>
      <c r="O31" s="1">
        <f>'June 2022'!T31</f>
        <v>14.850000000000001</v>
      </c>
      <c r="P31" s="1">
        <v>0</v>
      </c>
      <c r="Q31" s="1">
        <f>'June 2022'!Q31+'July 2022'!P31</f>
        <v>0</v>
      </c>
      <c r="R31" s="1">
        <v>0</v>
      </c>
      <c r="S31" s="1">
        <f>'June 2022'!S31+'July 2022'!R31</f>
        <v>0</v>
      </c>
      <c r="T31" s="1">
        <f t="shared" si="2"/>
        <v>14.850000000000001</v>
      </c>
      <c r="U31" s="1">
        <f t="shared" si="3"/>
        <v>4801.3790000000008</v>
      </c>
      <c r="W31" s="146"/>
    </row>
    <row r="32" spans="1:23" ht="70.5" customHeight="1">
      <c r="A32" s="71">
        <v>20</v>
      </c>
      <c r="B32" s="73" t="s">
        <v>38</v>
      </c>
      <c r="C32" s="1">
        <f>'June 2022'!H32</f>
        <v>2343.7457999999992</v>
      </c>
      <c r="D32" s="1">
        <v>2.59</v>
      </c>
      <c r="E32" s="1">
        <f>'June 2022'!E32+'July 2022'!D32</f>
        <v>13.2</v>
      </c>
      <c r="F32" s="1">
        <v>0</v>
      </c>
      <c r="G32" s="1">
        <f>'June 2022'!G32+'July 2022'!F32</f>
        <v>9.7200000000000006</v>
      </c>
      <c r="H32" s="1">
        <f t="shared" si="0"/>
        <v>2346.3357999999994</v>
      </c>
      <c r="I32" s="1">
        <f>'June 2022'!N32</f>
        <v>85.545999999999992</v>
      </c>
      <c r="J32" s="1">
        <v>0.65</v>
      </c>
      <c r="K32" s="1">
        <f>'June 2022'!K32+'July 2022'!J32</f>
        <v>3.43</v>
      </c>
      <c r="L32" s="1">
        <v>0</v>
      </c>
      <c r="M32" s="1">
        <f>'June 2022'!M32+'July 2022'!L32</f>
        <v>0</v>
      </c>
      <c r="N32" s="1">
        <f t="shared" si="1"/>
        <v>86.195999999999998</v>
      </c>
      <c r="O32" s="1">
        <f>'June 2022'!T32</f>
        <v>67.551999999999992</v>
      </c>
      <c r="P32" s="1">
        <v>0</v>
      </c>
      <c r="Q32" s="1">
        <f>'June 2022'!Q32+'July 2022'!P32</f>
        <v>0</v>
      </c>
      <c r="R32" s="1">
        <v>0</v>
      </c>
      <c r="S32" s="1">
        <f>'June 2022'!S32+'July 2022'!R32</f>
        <v>0</v>
      </c>
      <c r="T32" s="1">
        <f t="shared" si="2"/>
        <v>67.551999999999992</v>
      </c>
      <c r="U32" s="1">
        <f t="shared" si="3"/>
        <v>2500.0837999999994</v>
      </c>
      <c r="W32" s="146"/>
    </row>
    <row r="33" spans="1:23" s="7" customFormat="1" ht="38.25" customHeight="1">
      <c r="A33" s="70"/>
      <c r="B33" s="72" t="s">
        <v>65</v>
      </c>
      <c r="C33" s="2">
        <f>SUM(C29:C32)</f>
        <v>15334.742800000002</v>
      </c>
      <c r="D33" s="2">
        <f t="shared" ref="D33:U33" si="10">SUM(D29:D32)</f>
        <v>12.57</v>
      </c>
      <c r="E33" s="2">
        <f t="shared" si="10"/>
        <v>82.79</v>
      </c>
      <c r="F33" s="2">
        <f t="shared" si="10"/>
        <v>0</v>
      </c>
      <c r="G33" s="2">
        <f t="shared" si="10"/>
        <v>9.7200000000000006</v>
      </c>
      <c r="H33" s="2">
        <f t="shared" si="10"/>
        <v>15347.312800000002</v>
      </c>
      <c r="I33" s="2">
        <f t="shared" si="10"/>
        <v>423.15300000000002</v>
      </c>
      <c r="J33" s="2">
        <f t="shared" si="10"/>
        <v>0.65</v>
      </c>
      <c r="K33" s="2">
        <f t="shared" si="10"/>
        <v>3.43</v>
      </c>
      <c r="L33" s="2">
        <f t="shared" si="10"/>
        <v>0</v>
      </c>
      <c r="M33" s="2">
        <f t="shared" si="10"/>
        <v>0</v>
      </c>
      <c r="N33" s="2">
        <f t="shared" si="10"/>
        <v>423.803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10"/>
        <v>140.172</v>
      </c>
      <c r="U33" s="2">
        <f t="shared" si="10"/>
        <v>15911.287800000002</v>
      </c>
    </row>
    <row r="34" spans="1:23" ht="38.25" customHeight="1">
      <c r="A34" s="71">
        <v>21</v>
      </c>
      <c r="B34" s="73" t="s">
        <v>39</v>
      </c>
      <c r="C34" s="1">
        <f>'June 2022'!H34</f>
        <v>4507.79</v>
      </c>
      <c r="D34" s="1">
        <v>15.92</v>
      </c>
      <c r="E34" s="1">
        <f>'June 2022'!E34+'July 2022'!D34</f>
        <v>84.61</v>
      </c>
      <c r="F34" s="1">
        <v>0</v>
      </c>
      <c r="G34" s="1">
        <f>'June 2022'!G34+'July 2022'!F34</f>
        <v>0</v>
      </c>
      <c r="H34" s="1">
        <f t="shared" si="0"/>
        <v>4523.71</v>
      </c>
      <c r="I34" s="1">
        <f>'June 2022'!N34</f>
        <v>22.14</v>
      </c>
      <c r="J34" s="1">
        <v>62.3</v>
      </c>
      <c r="K34" s="1">
        <f>'June 2022'!K34+'July 2022'!J34</f>
        <v>84.44</v>
      </c>
      <c r="L34" s="1">
        <v>0</v>
      </c>
      <c r="M34" s="1">
        <f>'June 2022'!M34+'July 2022'!L34</f>
        <v>0</v>
      </c>
      <c r="N34" s="1">
        <f t="shared" si="1"/>
        <v>84.44</v>
      </c>
      <c r="O34" s="1">
        <f>'June 2022'!T34</f>
        <v>72.7</v>
      </c>
      <c r="P34" s="1">
        <v>0</v>
      </c>
      <c r="Q34" s="1">
        <f>'June 2022'!Q34+'July 2022'!P34</f>
        <v>72.7</v>
      </c>
      <c r="R34" s="1">
        <v>0</v>
      </c>
      <c r="S34" s="1">
        <f>'June 2022'!S34+'July 2022'!R34</f>
        <v>0</v>
      </c>
      <c r="T34" s="1">
        <f t="shared" si="2"/>
        <v>72.7</v>
      </c>
      <c r="U34" s="1">
        <f t="shared" si="3"/>
        <v>4680.8499999999995</v>
      </c>
    </row>
    <row r="35" spans="1:23" ht="38.25" customHeight="1">
      <c r="A35" s="71">
        <v>22</v>
      </c>
      <c r="B35" s="73" t="s">
        <v>40</v>
      </c>
      <c r="C35" s="1">
        <f>'June 2022'!H35</f>
        <v>6346.4099999999971</v>
      </c>
      <c r="D35" s="1">
        <v>24.67</v>
      </c>
      <c r="E35" s="1">
        <f>'June 2022'!E35+'July 2022'!D35</f>
        <v>161.5</v>
      </c>
      <c r="F35" s="1">
        <v>0</v>
      </c>
      <c r="G35" s="1">
        <f>'June 2022'!G35+'July 2022'!F35</f>
        <v>0</v>
      </c>
      <c r="H35" s="1">
        <f t="shared" si="0"/>
        <v>6371.0799999999972</v>
      </c>
      <c r="I35" s="1">
        <f>'June 2022'!N35</f>
        <v>33.68</v>
      </c>
      <c r="J35" s="1">
        <v>0</v>
      </c>
      <c r="K35" s="1">
        <f>'June 2022'!K35+'July 2022'!J35</f>
        <v>26.76</v>
      </c>
      <c r="L35" s="1">
        <v>0</v>
      </c>
      <c r="M35" s="1">
        <f>'June 2022'!M35+'July 2022'!L35</f>
        <v>0</v>
      </c>
      <c r="N35" s="1">
        <f t="shared" si="1"/>
        <v>33.68</v>
      </c>
      <c r="O35" s="1">
        <f>'June 2022'!T35</f>
        <v>90.800000000000011</v>
      </c>
      <c r="P35" s="1">
        <v>0</v>
      </c>
      <c r="Q35" s="1">
        <f>'June 2022'!Q35+'July 2022'!P35</f>
        <v>32.380000000000003</v>
      </c>
      <c r="R35" s="1">
        <v>0</v>
      </c>
      <c r="S35" s="1">
        <f>'June 2022'!S35+'July 2022'!R35</f>
        <v>0</v>
      </c>
      <c r="T35" s="1">
        <f t="shared" si="2"/>
        <v>90.800000000000011</v>
      </c>
      <c r="U35" s="1">
        <f t="shared" si="3"/>
        <v>6495.5599999999977</v>
      </c>
    </row>
    <row r="36" spans="1:23" s="7" customFormat="1" ht="38.25" customHeight="1">
      <c r="A36" s="71">
        <v>23</v>
      </c>
      <c r="B36" s="73" t="s">
        <v>41</v>
      </c>
      <c r="C36" s="1">
        <f>'June 2022'!H36</f>
        <v>3533.88</v>
      </c>
      <c r="D36" s="1">
        <v>14.54</v>
      </c>
      <c r="E36" s="1">
        <f>'June 2022'!E36+'July 2022'!D36</f>
        <v>97.32</v>
      </c>
      <c r="F36" s="1">
        <v>0</v>
      </c>
      <c r="G36" s="1">
        <f>'June 2022'!G36+'July 2022'!F36</f>
        <v>0</v>
      </c>
      <c r="H36" s="1">
        <f t="shared" si="0"/>
        <v>3548.42</v>
      </c>
      <c r="I36" s="1">
        <f>'June 2022'!N36</f>
        <v>30.250000000000039</v>
      </c>
      <c r="J36" s="1">
        <v>0</v>
      </c>
      <c r="K36" s="1">
        <f>'June 2022'!K36+'July 2022'!J36</f>
        <v>5.2</v>
      </c>
      <c r="L36" s="1">
        <v>0</v>
      </c>
      <c r="M36" s="1">
        <f>'June 2022'!M36+'July 2022'!L36</f>
        <v>4.63</v>
      </c>
      <c r="N36" s="1">
        <f t="shared" si="1"/>
        <v>30.250000000000039</v>
      </c>
      <c r="O36" s="1">
        <f>'June 2022'!T36</f>
        <v>36.379999999999995</v>
      </c>
      <c r="P36" s="1">
        <v>0</v>
      </c>
      <c r="Q36" s="1">
        <f>'June 2022'!Q36+'July 2022'!P36</f>
        <v>19.29</v>
      </c>
      <c r="R36" s="1">
        <v>0</v>
      </c>
      <c r="S36" s="1">
        <f>'June 2022'!S36+'July 2022'!R36</f>
        <v>0</v>
      </c>
      <c r="T36" s="1">
        <f t="shared" si="2"/>
        <v>36.379999999999995</v>
      </c>
      <c r="U36" s="1">
        <f t="shared" si="3"/>
        <v>3615.05</v>
      </c>
    </row>
    <row r="37" spans="1:23" s="7" customFormat="1" ht="38.25" customHeight="1">
      <c r="A37" s="71">
        <v>24</v>
      </c>
      <c r="B37" s="73" t="s">
        <v>42</v>
      </c>
      <c r="C37" s="1">
        <f>'June 2022'!H37</f>
        <v>4854.569999999997</v>
      </c>
      <c r="D37" s="1">
        <v>19.559999999999999</v>
      </c>
      <c r="E37" s="1">
        <f>'June 2022'!E37+'July 2022'!D37</f>
        <v>86.009999999999991</v>
      </c>
      <c r="F37" s="1">
        <v>0</v>
      </c>
      <c r="G37" s="1">
        <f>'June 2022'!G37+'July 2022'!F37</f>
        <v>0</v>
      </c>
      <c r="H37" s="1">
        <f t="shared" si="0"/>
        <v>4874.1299999999974</v>
      </c>
      <c r="I37" s="1">
        <f>'June 2022'!N37</f>
        <v>26.700000000000003</v>
      </c>
      <c r="J37" s="1">
        <v>0</v>
      </c>
      <c r="K37" s="1">
        <f>'June 2022'!K37+'July 2022'!J37</f>
        <v>14.27</v>
      </c>
      <c r="L37" s="1">
        <v>0</v>
      </c>
      <c r="M37" s="1">
        <f>'June 2022'!M37+'July 2022'!L37</f>
        <v>1.06</v>
      </c>
      <c r="N37" s="1">
        <f t="shared" si="1"/>
        <v>26.700000000000003</v>
      </c>
      <c r="O37" s="1">
        <f>'June 2022'!T37</f>
        <v>3.0599999999999996</v>
      </c>
      <c r="P37" s="1">
        <v>0</v>
      </c>
      <c r="Q37" s="1">
        <f>'June 2022'!Q37+'July 2022'!P37</f>
        <v>0</v>
      </c>
      <c r="R37" s="1">
        <v>0</v>
      </c>
      <c r="S37" s="1">
        <f>'June 2022'!S37+'July 2022'!R37</f>
        <v>3.46</v>
      </c>
      <c r="T37" s="1">
        <f t="shared" si="2"/>
        <v>3.0599999999999996</v>
      </c>
      <c r="U37" s="1">
        <f t="shared" si="3"/>
        <v>4903.8899999999976</v>
      </c>
    </row>
    <row r="38" spans="1:23" s="7" customFormat="1" ht="38.25" customHeight="1">
      <c r="A38" s="70"/>
      <c r="B38" s="72" t="s">
        <v>43</v>
      </c>
      <c r="C38" s="2">
        <f>SUM(C34:C37)</f>
        <v>19242.649999999994</v>
      </c>
      <c r="D38" s="2">
        <f t="shared" ref="D38:U38" si="11">SUM(D34:D37)</f>
        <v>74.69</v>
      </c>
      <c r="E38" s="2">
        <f t="shared" si="11"/>
        <v>429.44</v>
      </c>
      <c r="F38" s="2">
        <f t="shared" si="11"/>
        <v>0</v>
      </c>
      <c r="G38" s="2">
        <f t="shared" si="11"/>
        <v>0</v>
      </c>
      <c r="H38" s="2">
        <f t="shared" si="11"/>
        <v>19317.339999999997</v>
      </c>
      <c r="I38" s="2">
        <f t="shared" si="11"/>
        <v>112.77000000000004</v>
      </c>
      <c r="J38" s="2">
        <f t="shared" si="11"/>
        <v>62.3</v>
      </c>
      <c r="K38" s="2">
        <f t="shared" si="11"/>
        <v>130.67000000000002</v>
      </c>
      <c r="L38" s="2">
        <f t="shared" si="11"/>
        <v>0</v>
      </c>
      <c r="M38" s="2">
        <f t="shared" si="11"/>
        <v>5.6899999999999995</v>
      </c>
      <c r="N38" s="2">
        <f t="shared" si="11"/>
        <v>175.07000000000005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11"/>
        <v>202.94</v>
      </c>
      <c r="U38" s="2">
        <f t="shared" si="11"/>
        <v>19695.349999999991</v>
      </c>
    </row>
    <row r="39" spans="1:23" s="7" customFormat="1" ht="38.25" customHeight="1">
      <c r="A39" s="70"/>
      <c r="B39" s="72" t="s">
        <v>44</v>
      </c>
      <c r="C39" s="2">
        <f>C38+C33+C28</f>
        <v>41761.027799999996</v>
      </c>
      <c r="D39" s="2">
        <f t="shared" ref="D39:U39" si="12">D38+D33+D28</f>
        <v>115.35999999999999</v>
      </c>
      <c r="E39" s="2">
        <f t="shared" si="12"/>
        <v>594.28</v>
      </c>
      <c r="F39" s="2">
        <f t="shared" si="12"/>
        <v>0</v>
      </c>
      <c r="G39" s="2">
        <f t="shared" si="12"/>
        <v>9.7200000000000006</v>
      </c>
      <c r="H39" s="2">
        <f t="shared" si="12"/>
        <v>41876.387799999997</v>
      </c>
      <c r="I39" s="2">
        <f t="shared" si="12"/>
        <v>1201.1509999999998</v>
      </c>
      <c r="J39" s="2">
        <f t="shared" si="12"/>
        <v>66.699999999999989</v>
      </c>
      <c r="K39" s="2">
        <f t="shared" si="12"/>
        <v>141.56000000000003</v>
      </c>
      <c r="L39" s="2">
        <f t="shared" si="12"/>
        <v>0</v>
      </c>
      <c r="M39" s="2">
        <f t="shared" si="12"/>
        <v>5.6899999999999995</v>
      </c>
      <c r="N39" s="2">
        <f t="shared" si="12"/>
        <v>1267.8510000000001</v>
      </c>
      <c r="O39" s="2">
        <f t="shared" si="12"/>
        <v>392.71199999999999</v>
      </c>
      <c r="P39" s="2">
        <f t="shared" si="12"/>
        <v>0</v>
      </c>
      <c r="Q39" s="2">
        <f t="shared" si="12"/>
        <v>124.37</v>
      </c>
      <c r="R39" s="2">
        <f t="shared" si="12"/>
        <v>0</v>
      </c>
      <c r="S39" s="2">
        <f t="shared" si="12"/>
        <v>26.66</v>
      </c>
      <c r="T39" s="2">
        <f t="shared" si="12"/>
        <v>392.71199999999999</v>
      </c>
      <c r="U39" s="2">
        <f t="shared" si="12"/>
        <v>43536.950799999999</v>
      </c>
      <c r="V39" s="2"/>
      <c r="W39" s="2"/>
    </row>
    <row r="40" spans="1:23" ht="38.25" customHeight="1">
      <c r="A40" s="71">
        <v>25</v>
      </c>
      <c r="B40" s="73" t="s">
        <v>45</v>
      </c>
      <c r="C40" s="1">
        <f>'June 2022'!H40</f>
        <v>11577.243999999999</v>
      </c>
      <c r="D40" s="1">
        <v>128.91999999999999</v>
      </c>
      <c r="E40" s="1">
        <f>'June 2022'!E40+'July 2022'!D40</f>
        <v>315.72000000000003</v>
      </c>
      <c r="F40" s="1">
        <v>0</v>
      </c>
      <c r="G40" s="1">
        <f>'June 2022'!G40+'July 2022'!F40</f>
        <v>0</v>
      </c>
      <c r="H40" s="1">
        <f t="shared" si="0"/>
        <v>11706.163999999999</v>
      </c>
      <c r="I40" s="1">
        <f>'June 2022'!N40</f>
        <v>198.73</v>
      </c>
      <c r="J40" s="1">
        <v>0</v>
      </c>
      <c r="K40" s="1">
        <f>'June 2022'!K40+'July 2022'!J40</f>
        <v>0</v>
      </c>
      <c r="L40" s="1">
        <v>0</v>
      </c>
      <c r="M40" s="1">
        <f>'June 2022'!M40+'July 2022'!L40</f>
        <v>0</v>
      </c>
      <c r="N40" s="1">
        <f t="shared" si="1"/>
        <v>198.73</v>
      </c>
      <c r="O40" s="1">
        <f>'June 2022'!T40</f>
        <v>0</v>
      </c>
      <c r="P40" s="1">
        <v>0</v>
      </c>
      <c r="Q40" s="1">
        <f>'June 2022'!Q40+'July 2022'!P40</f>
        <v>0</v>
      </c>
      <c r="R40" s="1">
        <v>0</v>
      </c>
      <c r="S40" s="1">
        <f>'June 2022'!S40+'July 2022'!R40</f>
        <v>0</v>
      </c>
      <c r="T40" s="1">
        <f t="shared" si="2"/>
        <v>0</v>
      </c>
      <c r="U40" s="1">
        <f t="shared" si="3"/>
        <v>11904.893999999998</v>
      </c>
    </row>
    <row r="41" spans="1:23" ht="38.25" customHeight="1">
      <c r="A41" s="71">
        <v>26</v>
      </c>
      <c r="B41" s="73" t="s">
        <v>46</v>
      </c>
      <c r="C41" s="1">
        <f>'June 2022'!H41</f>
        <v>7737.6369999999943</v>
      </c>
      <c r="D41" s="1">
        <v>132.99</v>
      </c>
      <c r="E41" s="1">
        <f>'June 2022'!E41+'July 2022'!D41</f>
        <v>372.59000000000003</v>
      </c>
      <c r="F41" s="1">
        <v>0</v>
      </c>
      <c r="G41" s="1">
        <f>'June 2022'!G41+'July 2022'!F41</f>
        <v>0</v>
      </c>
      <c r="H41" s="1">
        <f t="shared" si="0"/>
        <v>7870.626999999994</v>
      </c>
      <c r="I41" s="1">
        <f>'June 2022'!N41</f>
        <v>8.67</v>
      </c>
      <c r="J41" s="1">
        <v>0</v>
      </c>
      <c r="K41" s="1">
        <f>'June 2022'!K41+'July 2022'!J41</f>
        <v>0</v>
      </c>
      <c r="L41" s="1">
        <v>0</v>
      </c>
      <c r="M41" s="1">
        <f>'June 2022'!M41+'July 2022'!L41</f>
        <v>0</v>
      </c>
      <c r="N41" s="1">
        <f t="shared" si="1"/>
        <v>8.67</v>
      </c>
      <c r="O41" s="1">
        <f>'June 2022'!T41</f>
        <v>0</v>
      </c>
      <c r="P41" s="1">
        <v>0</v>
      </c>
      <c r="Q41" s="1">
        <f>'June 2022'!Q41+'July 2022'!P41</f>
        <v>0</v>
      </c>
      <c r="R41" s="1">
        <v>0</v>
      </c>
      <c r="S41" s="1">
        <f>'June 2022'!S41+'July 2022'!R41</f>
        <v>0</v>
      </c>
      <c r="T41" s="1">
        <f t="shared" si="2"/>
        <v>0</v>
      </c>
      <c r="U41" s="1">
        <f t="shared" si="3"/>
        <v>7879.2969999999941</v>
      </c>
    </row>
    <row r="42" spans="1:23" s="7" customFormat="1" ht="38.25" customHeight="1">
      <c r="A42" s="71">
        <v>27</v>
      </c>
      <c r="B42" s="73" t="s">
        <v>47</v>
      </c>
      <c r="C42" s="1">
        <f>'June 2022'!H42</f>
        <v>13841.288999999995</v>
      </c>
      <c r="D42" s="1">
        <v>11.1</v>
      </c>
      <c r="E42" s="1">
        <f>'June 2022'!E42+'July 2022'!D42</f>
        <v>46.95</v>
      </c>
      <c r="F42" s="1">
        <v>0</v>
      </c>
      <c r="G42" s="1">
        <f>'June 2022'!G42+'July 2022'!F42</f>
        <v>0</v>
      </c>
      <c r="H42" s="1">
        <f t="shared" si="0"/>
        <v>13852.388999999996</v>
      </c>
      <c r="I42" s="1">
        <f>'June 2022'!N42</f>
        <v>15.62</v>
      </c>
      <c r="J42" s="1">
        <v>0</v>
      </c>
      <c r="K42" s="1">
        <f>'June 2022'!K42+'July 2022'!J42</f>
        <v>0</v>
      </c>
      <c r="L42" s="1">
        <v>0</v>
      </c>
      <c r="M42" s="1">
        <f>'June 2022'!M42+'July 2022'!L42</f>
        <v>0</v>
      </c>
      <c r="N42" s="1">
        <f t="shared" si="1"/>
        <v>15.62</v>
      </c>
      <c r="O42" s="1">
        <f>'June 2022'!T42</f>
        <v>39.019999999999996</v>
      </c>
      <c r="P42" s="1">
        <v>0</v>
      </c>
      <c r="Q42" s="1">
        <f>'June 2022'!Q42+'July 2022'!P42</f>
        <v>0</v>
      </c>
      <c r="R42" s="1">
        <v>0</v>
      </c>
      <c r="S42" s="1">
        <f>'June 2022'!S42+'July 2022'!R42</f>
        <v>0</v>
      </c>
      <c r="T42" s="1">
        <f t="shared" si="2"/>
        <v>39.019999999999996</v>
      </c>
      <c r="U42" s="1">
        <f t="shared" si="3"/>
        <v>13907.028999999997</v>
      </c>
    </row>
    <row r="43" spans="1:23" ht="38.25" customHeight="1">
      <c r="A43" s="71">
        <v>28</v>
      </c>
      <c r="B43" s="73" t="s">
        <v>48</v>
      </c>
      <c r="C43" s="1">
        <f>'June 2022'!H43</f>
        <v>3985.2000000000012</v>
      </c>
      <c r="D43" s="1">
        <v>8.06</v>
      </c>
      <c r="E43" s="1">
        <f>'June 2022'!E43+'July 2022'!D43</f>
        <v>25.78</v>
      </c>
      <c r="F43" s="1">
        <v>0</v>
      </c>
      <c r="G43" s="1">
        <f>'June 2022'!G43+'July 2022'!F43</f>
        <v>0</v>
      </c>
      <c r="H43" s="1">
        <f t="shared" si="0"/>
        <v>3993.2600000000011</v>
      </c>
      <c r="I43" s="1">
        <f>'June 2022'!N43</f>
        <v>3.5</v>
      </c>
      <c r="J43" s="1">
        <v>0</v>
      </c>
      <c r="K43" s="1">
        <f>'June 2022'!K43+'July 2022'!J43</f>
        <v>0</v>
      </c>
      <c r="L43" s="1">
        <v>0</v>
      </c>
      <c r="M43" s="1">
        <f>'June 2022'!M43+'July 2022'!L43</f>
        <v>0</v>
      </c>
      <c r="N43" s="1">
        <f t="shared" si="1"/>
        <v>3.5</v>
      </c>
      <c r="O43" s="1">
        <f>'June 2022'!T43</f>
        <v>0</v>
      </c>
      <c r="P43" s="1">
        <v>0</v>
      </c>
      <c r="Q43" s="1">
        <f>'June 2022'!Q43+'July 2022'!P43</f>
        <v>0</v>
      </c>
      <c r="R43" s="1">
        <v>0</v>
      </c>
      <c r="S43" s="1">
        <f>'June 2022'!S43+'July 2022'!R43</f>
        <v>0</v>
      </c>
      <c r="T43" s="1">
        <f t="shared" si="2"/>
        <v>0</v>
      </c>
      <c r="U43" s="1">
        <f t="shared" si="3"/>
        <v>3996.7600000000011</v>
      </c>
    </row>
    <row r="44" spans="1:23" s="7" customFormat="1" ht="38.25" customHeight="1">
      <c r="A44" s="70"/>
      <c r="B44" s="72" t="s">
        <v>49</v>
      </c>
      <c r="C44" s="2">
        <f>SUM(C40:C43)</f>
        <v>37141.369999999995</v>
      </c>
      <c r="D44" s="2">
        <f t="shared" ref="D44:U44" si="13">SUM(D40:D43)</f>
        <v>281.07</v>
      </c>
      <c r="E44" s="2">
        <f t="shared" si="13"/>
        <v>761.04000000000008</v>
      </c>
      <c r="F44" s="2">
        <f t="shared" si="13"/>
        <v>0</v>
      </c>
      <c r="G44" s="2">
        <f t="shared" si="13"/>
        <v>0</v>
      </c>
      <c r="H44" s="2">
        <f t="shared" si="13"/>
        <v>37422.439999999995</v>
      </c>
      <c r="I44" s="2">
        <f t="shared" si="13"/>
        <v>226.51999999999998</v>
      </c>
      <c r="J44" s="2">
        <f t="shared" si="13"/>
        <v>0</v>
      </c>
      <c r="K44" s="2">
        <f t="shared" si="13"/>
        <v>0</v>
      </c>
      <c r="L44" s="2">
        <f t="shared" si="13"/>
        <v>0</v>
      </c>
      <c r="M44" s="2">
        <f t="shared" si="13"/>
        <v>0</v>
      </c>
      <c r="N44" s="2">
        <f t="shared" si="13"/>
        <v>226.51999999999998</v>
      </c>
      <c r="O44" s="2">
        <f t="shared" si="13"/>
        <v>39.019999999999996</v>
      </c>
      <c r="P44" s="2">
        <f t="shared" si="13"/>
        <v>0</v>
      </c>
      <c r="Q44" s="2">
        <f t="shared" si="13"/>
        <v>0</v>
      </c>
      <c r="R44" s="2">
        <f t="shared" si="13"/>
        <v>0</v>
      </c>
      <c r="S44" s="2">
        <f t="shared" si="13"/>
        <v>0</v>
      </c>
      <c r="T44" s="2">
        <f t="shared" si="13"/>
        <v>39.019999999999996</v>
      </c>
      <c r="U44" s="2">
        <f t="shared" si="13"/>
        <v>37687.979999999989</v>
      </c>
    </row>
    <row r="45" spans="1:23" ht="38.25" customHeight="1">
      <c r="A45" s="71">
        <v>29</v>
      </c>
      <c r="B45" s="73" t="s">
        <v>50</v>
      </c>
      <c r="C45" s="1">
        <f>'June 2022'!H45</f>
        <v>8101.4321000000009</v>
      </c>
      <c r="D45" s="1">
        <v>13.17</v>
      </c>
      <c r="E45" s="1">
        <f>'June 2022'!E45+'July 2022'!D45</f>
        <v>62.620000000000005</v>
      </c>
      <c r="F45" s="1">
        <v>0</v>
      </c>
      <c r="G45" s="1">
        <f>'June 2022'!G45+'July 2022'!F45</f>
        <v>0</v>
      </c>
      <c r="H45" s="1">
        <f t="shared" si="0"/>
        <v>8114.602100000001</v>
      </c>
      <c r="I45" s="1">
        <f>'June 2022'!N45</f>
        <v>42.14</v>
      </c>
      <c r="J45" s="1">
        <v>0.06</v>
      </c>
      <c r="K45" s="1">
        <f>'June 2022'!K45+'July 2022'!J45</f>
        <v>0.28000000000000003</v>
      </c>
      <c r="L45" s="1">
        <v>0</v>
      </c>
      <c r="M45" s="1">
        <f>'June 2022'!M45+'July 2022'!L45</f>
        <v>0</v>
      </c>
      <c r="N45" s="1">
        <f t="shared" si="1"/>
        <v>42.2</v>
      </c>
      <c r="O45" s="1">
        <f>'June 2022'!T45</f>
        <v>14.75</v>
      </c>
      <c r="P45" s="1">
        <v>0.03</v>
      </c>
      <c r="Q45" s="1">
        <f>'June 2022'!Q45+'July 2022'!P45</f>
        <v>0.03</v>
      </c>
      <c r="R45" s="1">
        <v>0</v>
      </c>
      <c r="S45" s="1">
        <f>'June 2022'!S45+'July 2022'!R45</f>
        <v>0</v>
      </c>
      <c r="T45" s="1">
        <f t="shared" si="2"/>
        <v>14.78</v>
      </c>
      <c r="U45" s="1">
        <f t="shared" si="3"/>
        <v>8171.5821000000005</v>
      </c>
    </row>
    <row r="46" spans="1:23" ht="38.25" customHeight="1">
      <c r="A46" s="71">
        <v>30</v>
      </c>
      <c r="B46" s="73" t="s">
        <v>51</v>
      </c>
      <c r="C46" s="1">
        <f>'June 2022'!H46</f>
        <v>7772.8450000000021</v>
      </c>
      <c r="D46" s="1">
        <v>5.4</v>
      </c>
      <c r="E46" s="1">
        <f>'June 2022'!E46+'July 2022'!D46</f>
        <v>39.75</v>
      </c>
      <c r="F46" s="1">
        <v>0</v>
      </c>
      <c r="G46" s="1">
        <f>'June 2022'!G46+'July 2022'!F46</f>
        <v>0</v>
      </c>
      <c r="H46" s="1">
        <f t="shared" si="0"/>
        <v>7778.2450000000017</v>
      </c>
      <c r="I46" s="1">
        <f>'June 2022'!N46</f>
        <v>0</v>
      </c>
      <c r="J46" s="1">
        <v>0</v>
      </c>
      <c r="K46" s="1">
        <f>'June 2022'!K46+'July 2022'!J46</f>
        <v>0</v>
      </c>
      <c r="L46" s="1">
        <v>0</v>
      </c>
      <c r="M46" s="1">
        <f>'June 2022'!M46+'July 2022'!L46</f>
        <v>0</v>
      </c>
      <c r="N46" s="1">
        <f t="shared" si="1"/>
        <v>0</v>
      </c>
      <c r="O46" s="1">
        <f>'June 2022'!T46</f>
        <v>0</v>
      </c>
      <c r="P46" s="1">
        <v>0</v>
      </c>
      <c r="Q46" s="1">
        <f>'June 2022'!Q46+'July 2022'!P46</f>
        <v>0</v>
      </c>
      <c r="R46" s="1">
        <v>0</v>
      </c>
      <c r="S46" s="1">
        <f>'June 2022'!S46+'July 2022'!R46</f>
        <v>0</v>
      </c>
      <c r="T46" s="1">
        <f t="shared" si="2"/>
        <v>0</v>
      </c>
      <c r="U46" s="1">
        <f t="shared" si="3"/>
        <v>7778.2450000000017</v>
      </c>
    </row>
    <row r="47" spans="1:23" s="7" customFormat="1" ht="38.25" customHeight="1">
      <c r="A47" s="71">
        <v>31</v>
      </c>
      <c r="B47" s="73" t="s">
        <v>52</v>
      </c>
      <c r="C47" s="1">
        <f>'June 2022'!H47</f>
        <v>8904.0700000000015</v>
      </c>
      <c r="D47" s="1">
        <v>10.72</v>
      </c>
      <c r="E47" s="1">
        <f>'June 2022'!E47+'July 2022'!D47</f>
        <v>130.15</v>
      </c>
      <c r="F47" s="1">
        <v>0</v>
      </c>
      <c r="G47" s="1">
        <f>'June 2022'!G47+'July 2022'!F47</f>
        <v>0</v>
      </c>
      <c r="H47" s="1">
        <f t="shared" si="0"/>
        <v>8914.7900000000009</v>
      </c>
      <c r="I47" s="1">
        <f>'June 2022'!N47</f>
        <v>3.13</v>
      </c>
      <c r="J47" s="1">
        <v>0</v>
      </c>
      <c r="K47" s="1">
        <f>'June 2022'!K47+'July 2022'!J47</f>
        <v>0</v>
      </c>
      <c r="L47" s="1">
        <v>0</v>
      </c>
      <c r="M47" s="1">
        <f>'June 2022'!M47+'July 2022'!L47</f>
        <v>0</v>
      </c>
      <c r="N47" s="1">
        <f t="shared" si="1"/>
        <v>3.13</v>
      </c>
      <c r="O47" s="1">
        <f>'June 2022'!T47</f>
        <v>0.03</v>
      </c>
      <c r="P47" s="1">
        <v>0</v>
      </c>
      <c r="Q47" s="1">
        <f>'June 2022'!Q47+'July 2022'!P47</f>
        <v>0</v>
      </c>
      <c r="R47" s="1">
        <v>0</v>
      </c>
      <c r="S47" s="1">
        <f>'June 2022'!S47+'July 2022'!R47</f>
        <v>0</v>
      </c>
      <c r="T47" s="1">
        <f t="shared" si="2"/>
        <v>0.03</v>
      </c>
      <c r="U47" s="1">
        <f t="shared" si="3"/>
        <v>8917.9500000000007</v>
      </c>
    </row>
    <row r="48" spans="1:23" s="7" customFormat="1" ht="38.25" customHeight="1">
      <c r="A48" s="71">
        <v>32</v>
      </c>
      <c r="B48" s="73" t="s">
        <v>53</v>
      </c>
      <c r="C48" s="1">
        <f>'June 2022'!H48</f>
        <v>8571.3490000000002</v>
      </c>
      <c r="D48" s="1">
        <v>0</v>
      </c>
      <c r="E48" s="1">
        <f>'June 2022'!E48+'July 2022'!D48</f>
        <v>374.56</v>
      </c>
      <c r="F48" s="1">
        <v>0</v>
      </c>
      <c r="G48" s="1">
        <f>'June 2022'!G48+'July 2022'!F48</f>
        <v>0</v>
      </c>
      <c r="H48" s="1">
        <f t="shared" si="0"/>
        <v>8571.3490000000002</v>
      </c>
      <c r="I48" s="1">
        <f>'June 2022'!N48</f>
        <v>5.0249999999999995</v>
      </c>
      <c r="J48" s="1">
        <v>0</v>
      </c>
      <c r="K48" s="1">
        <f>'June 2022'!K48+'July 2022'!J48</f>
        <v>0</v>
      </c>
      <c r="L48" s="1">
        <v>0</v>
      </c>
      <c r="M48" s="1">
        <f>'June 2022'!M48+'July 2022'!L48</f>
        <v>0</v>
      </c>
      <c r="N48" s="1">
        <f t="shared" si="1"/>
        <v>5.0249999999999995</v>
      </c>
      <c r="O48" s="1">
        <f>'June 2022'!T48</f>
        <v>4.21</v>
      </c>
      <c r="P48" s="1">
        <v>0</v>
      </c>
      <c r="Q48" s="1">
        <f>'June 2022'!Q48+'July 2022'!P48</f>
        <v>4.21</v>
      </c>
      <c r="R48" s="1">
        <v>0</v>
      </c>
      <c r="S48" s="1">
        <f>'June 2022'!S48+'July 2022'!R48</f>
        <v>0</v>
      </c>
      <c r="T48" s="1">
        <f t="shared" si="2"/>
        <v>4.21</v>
      </c>
      <c r="U48" s="1">
        <f t="shared" si="3"/>
        <v>8580.5839999999989</v>
      </c>
    </row>
    <row r="49" spans="1:21" s="7" customFormat="1" ht="38.25" customHeight="1">
      <c r="A49" s="70"/>
      <c r="B49" s="72" t="s">
        <v>54</v>
      </c>
      <c r="C49" s="2">
        <f>SUM(C45:C48)</f>
        <v>33349.696100000008</v>
      </c>
      <c r="D49" s="2">
        <f t="shared" ref="D49:U49" si="14">SUM(D45:D48)</f>
        <v>29.29</v>
      </c>
      <c r="E49" s="2">
        <f t="shared" si="14"/>
        <v>607.08000000000004</v>
      </c>
      <c r="F49" s="2">
        <f t="shared" si="14"/>
        <v>0</v>
      </c>
      <c r="G49" s="2">
        <f t="shared" si="14"/>
        <v>0</v>
      </c>
      <c r="H49" s="2">
        <f t="shared" si="14"/>
        <v>33378.986100000002</v>
      </c>
      <c r="I49" s="2">
        <f t="shared" si="14"/>
        <v>50.295000000000002</v>
      </c>
      <c r="J49" s="2">
        <f t="shared" si="14"/>
        <v>0.06</v>
      </c>
      <c r="K49" s="2">
        <f t="shared" si="14"/>
        <v>0.28000000000000003</v>
      </c>
      <c r="L49" s="2">
        <f t="shared" si="14"/>
        <v>0</v>
      </c>
      <c r="M49" s="2">
        <f t="shared" si="14"/>
        <v>0</v>
      </c>
      <c r="N49" s="2">
        <f t="shared" si="14"/>
        <v>50.355000000000004</v>
      </c>
      <c r="O49" s="2">
        <f t="shared" si="14"/>
        <v>18.989999999999998</v>
      </c>
      <c r="P49" s="2">
        <f t="shared" si="14"/>
        <v>0.03</v>
      </c>
      <c r="Q49" s="2">
        <f t="shared" si="14"/>
        <v>4.24</v>
      </c>
      <c r="R49" s="2">
        <f t="shared" si="14"/>
        <v>0</v>
      </c>
      <c r="S49" s="2">
        <f t="shared" si="14"/>
        <v>0</v>
      </c>
      <c r="T49" s="2">
        <f t="shared" si="14"/>
        <v>19.02</v>
      </c>
      <c r="U49" s="2">
        <f t="shared" si="14"/>
        <v>33448.361100000002</v>
      </c>
    </row>
    <row r="50" spans="1:21" s="7" customFormat="1" ht="38.25" customHeight="1">
      <c r="A50" s="70"/>
      <c r="B50" s="72" t="s">
        <v>55</v>
      </c>
      <c r="C50" s="2">
        <f>C49+C44</f>
        <v>70491.066099999996</v>
      </c>
      <c r="D50" s="2">
        <f t="shared" ref="D50:U50" si="15">D49+D44</f>
        <v>310.36</v>
      </c>
      <c r="E50" s="2">
        <f t="shared" si="15"/>
        <v>1368.1200000000001</v>
      </c>
      <c r="F50" s="2">
        <f t="shared" si="15"/>
        <v>0</v>
      </c>
      <c r="G50" s="2">
        <f t="shared" si="15"/>
        <v>0</v>
      </c>
      <c r="H50" s="2">
        <f t="shared" si="15"/>
        <v>70801.426099999997</v>
      </c>
      <c r="I50" s="2">
        <f t="shared" si="15"/>
        <v>276.815</v>
      </c>
      <c r="J50" s="2">
        <f t="shared" si="15"/>
        <v>0.06</v>
      </c>
      <c r="K50" s="2">
        <f t="shared" si="15"/>
        <v>0.28000000000000003</v>
      </c>
      <c r="L50" s="2">
        <f t="shared" si="15"/>
        <v>0</v>
      </c>
      <c r="M50" s="2">
        <f t="shared" si="15"/>
        <v>0</v>
      </c>
      <c r="N50" s="2">
        <f t="shared" si="15"/>
        <v>276.875</v>
      </c>
      <c r="O50" s="2">
        <f t="shared" si="15"/>
        <v>58.009999999999991</v>
      </c>
      <c r="P50" s="2">
        <f t="shared" si="15"/>
        <v>0.03</v>
      </c>
      <c r="Q50" s="2">
        <f t="shared" si="15"/>
        <v>4.24</v>
      </c>
      <c r="R50" s="2">
        <f t="shared" si="15"/>
        <v>0</v>
      </c>
      <c r="S50" s="2">
        <f t="shared" si="15"/>
        <v>0</v>
      </c>
      <c r="T50" s="2">
        <f t="shared" si="15"/>
        <v>58.039999999999992</v>
      </c>
      <c r="U50" s="2">
        <f t="shared" si="15"/>
        <v>71136.341099999991</v>
      </c>
    </row>
    <row r="51" spans="1:21" s="7" customFormat="1" ht="38.25" customHeight="1">
      <c r="A51" s="70"/>
      <c r="B51" s="72" t="s">
        <v>56</v>
      </c>
      <c r="C51" s="2">
        <f>C50+C39+C25</f>
        <v>116909.2499</v>
      </c>
      <c r="D51" s="2">
        <f t="shared" ref="D51:U51" si="16">D50+D39+D25</f>
        <v>425.84000000000003</v>
      </c>
      <c r="E51" s="2">
        <f t="shared" si="16"/>
        <v>1968.72</v>
      </c>
      <c r="F51" s="2">
        <f t="shared" si="16"/>
        <v>52.8</v>
      </c>
      <c r="G51" s="2">
        <f t="shared" si="16"/>
        <v>98.92</v>
      </c>
      <c r="H51" s="2">
        <f t="shared" si="16"/>
        <v>117282.28989999999</v>
      </c>
      <c r="I51" s="2">
        <f t="shared" si="16"/>
        <v>9090.9230000000007</v>
      </c>
      <c r="J51" s="2">
        <f t="shared" si="16"/>
        <v>206.1</v>
      </c>
      <c r="K51" s="2">
        <f t="shared" si="16"/>
        <v>873.13900000000001</v>
      </c>
      <c r="L51" s="2">
        <f t="shared" si="16"/>
        <v>0.7</v>
      </c>
      <c r="M51" s="2">
        <f t="shared" si="16"/>
        <v>7.51</v>
      </c>
      <c r="N51" s="2">
        <f t="shared" si="16"/>
        <v>9296.3230000000003</v>
      </c>
      <c r="O51" s="2">
        <f t="shared" si="16"/>
        <v>1034.5300000000002</v>
      </c>
      <c r="P51" s="2">
        <f t="shared" si="16"/>
        <v>0.15</v>
      </c>
      <c r="Q51" s="2">
        <f t="shared" si="16"/>
        <v>129.34</v>
      </c>
      <c r="R51" s="2">
        <f t="shared" si="16"/>
        <v>0</v>
      </c>
      <c r="S51" s="2">
        <f t="shared" si="16"/>
        <v>36.14</v>
      </c>
      <c r="T51" s="2">
        <f t="shared" si="16"/>
        <v>1034.68</v>
      </c>
      <c r="U51" s="2">
        <f t="shared" si="16"/>
        <v>127613.29289999999</v>
      </c>
    </row>
    <row r="52" spans="1:21" s="7" customFormat="1" ht="28.5" customHeight="1">
      <c r="A52" s="18"/>
      <c r="B52" s="27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75"/>
      <c r="J53" s="75">
        <f>D51+J51+P51-F51-L51-R51</f>
        <v>578.59</v>
      </c>
      <c r="K53" s="75"/>
      <c r="L53" s="75"/>
      <c r="M53" s="75"/>
      <c r="N53" s="75"/>
      <c r="R53" s="75"/>
      <c r="U53" s="75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75"/>
      <c r="J54" s="75">
        <f>E51+K51+Q51-G51-M51-S51</f>
        <v>2828.6289999999999</v>
      </c>
      <c r="K54" s="75"/>
      <c r="L54" s="75"/>
      <c r="M54" s="75"/>
      <c r="N54" s="75"/>
      <c r="R54" s="75"/>
      <c r="T54" s="75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127613.29289999999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75"/>
      <c r="E56" s="75"/>
      <c r="F56" s="75"/>
      <c r="G56" s="75"/>
      <c r="H56" s="4"/>
      <c r="I56" s="19"/>
      <c r="J56" s="75"/>
      <c r="K56" s="4"/>
      <c r="L56" s="61"/>
      <c r="M56" s="4"/>
      <c r="N56" s="11">
        <f>'[1]sep 2020 '!J56+'July 2022'!J53</f>
        <v>117329.50089999998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2021'!J55+'July 2022'!J53</f>
        <v>120795.10889999999</v>
      </c>
      <c r="N57" s="7"/>
      <c r="O57" s="3"/>
      <c r="P57" s="74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76"/>
      <c r="L58" s="10"/>
      <c r="M58" s="7"/>
      <c r="N58" s="29">
        <f>'[2]July 2021'!J55+'July 2022'!J53</f>
        <v>121583.85989999998</v>
      </c>
      <c r="O58" s="29">
        <f>'[2]April 2021'!J55+'July 2022'!J53</f>
        <v>120795.10889999999</v>
      </c>
      <c r="P58" s="74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2021'!J55+'July 2022'!J53</f>
        <v>120274.29789999999</v>
      </c>
      <c r="J59" s="143" t="s">
        <v>63</v>
      </c>
      <c r="K59" s="143"/>
      <c r="L59" s="143"/>
      <c r="M59" s="11" t="e">
        <f>#REF!+'July 2022'!J53</f>
        <v>#REF!</v>
      </c>
      <c r="N59" s="4"/>
    </row>
    <row r="60" spans="1:21" ht="37.5" customHeight="1">
      <c r="G60" s="4"/>
      <c r="H60" s="11">
        <f>H51+N51+T51</f>
        <v>127613.29289999999</v>
      </c>
      <c r="J60" s="143" t="s">
        <v>64</v>
      </c>
      <c r="K60" s="143"/>
      <c r="L60" s="143"/>
      <c r="M60" s="11" t="e">
        <f>#REF!+'July 2022'!J53</f>
        <v>#REF!</v>
      </c>
    </row>
    <row r="61" spans="1:21">
      <c r="H61" s="23"/>
    </row>
    <row r="62" spans="1:21">
      <c r="G62" s="4"/>
      <c r="H62" s="11">
        <f>'[1]nov 2020'!J56+'July 2022'!J53</f>
        <v>119193.44089999999</v>
      </c>
      <c r="I62" s="24"/>
      <c r="J62" s="23"/>
    </row>
    <row r="63" spans="1:21">
      <c r="H63" s="11">
        <f>'[1]nov 2020'!J56+'July 2022'!J53</f>
        <v>119193.44089999999</v>
      </c>
      <c r="I63" s="30">
        <f>'[2]June 2021)'!J55+'July 2022'!J53</f>
        <v>121255.0889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H40" zoomScale="51" zoomScaleNormal="51" workbookViewId="0">
      <selection activeCell="H9" sqref="H9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86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80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79" t="s">
        <v>11</v>
      </c>
      <c r="E6" s="79" t="s">
        <v>12</v>
      </c>
      <c r="F6" s="79" t="s">
        <v>11</v>
      </c>
      <c r="G6" s="79" t="s">
        <v>12</v>
      </c>
      <c r="H6" s="135"/>
      <c r="I6" s="138"/>
      <c r="J6" s="79" t="s">
        <v>11</v>
      </c>
      <c r="K6" s="79" t="s">
        <v>12</v>
      </c>
      <c r="L6" s="79" t="s">
        <v>11</v>
      </c>
      <c r="M6" s="79" t="s">
        <v>12</v>
      </c>
      <c r="N6" s="135"/>
      <c r="O6" s="138"/>
      <c r="P6" s="79" t="s">
        <v>11</v>
      </c>
      <c r="Q6" s="79" t="s">
        <v>12</v>
      </c>
      <c r="R6" s="79" t="s">
        <v>11</v>
      </c>
      <c r="S6" s="79" t="s">
        <v>12</v>
      </c>
      <c r="T6" s="135"/>
      <c r="U6" s="135"/>
    </row>
    <row r="7" spans="1:21" ht="38.25" customHeight="1">
      <c r="A7" s="80">
        <v>1</v>
      </c>
      <c r="B7" s="82" t="s">
        <v>13</v>
      </c>
      <c r="C7" s="1">
        <f>'July 2022'!H7</f>
        <v>48.239999999999981</v>
      </c>
      <c r="D7" s="1">
        <v>0</v>
      </c>
      <c r="E7" s="1">
        <f>'July 2022'!E7+'Aug 2022  '!D7</f>
        <v>0</v>
      </c>
      <c r="F7" s="1">
        <v>0</v>
      </c>
      <c r="G7" s="1">
        <f>'July 2022'!G7+'Aug 2022  '!F7</f>
        <v>41.8</v>
      </c>
      <c r="H7" s="1">
        <f>C7+D7-F7</f>
        <v>48.239999999999981</v>
      </c>
      <c r="I7" s="1">
        <f>'July 2022'!N7</f>
        <v>667.76599999999985</v>
      </c>
      <c r="J7" s="1">
        <v>1.1919999999999999</v>
      </c>
      <c r="K7" s="1">
        <f>'July 2022'!K7+'Aug 2022  '!J7</f>
        <v>84.740999999999985</v>
      </c>
      <c r="L7" s="1">
        <v>0</v>
      </c>
      <c r="M7" s="1">
        <f>'July 2022'!M7+'Aug 2022  '!L7</f>
        <v>0</v>
      </c>
      <c r="N7" s="1">
        <f>I7+J7-L7</f>
        <v>668.95799999999986</v>
      </c>
      <c r="O7" s="1">
        <f>'July 2022'!T7</f>
        <v>8.436000000000007</v>
      </c>
      <c r="P7" s="1">
        <v>0</v>
      </c>
      <c r="Q7" s="1">
        <f>'July 2022'!Q7+'Aug 2022  '!P7</f>
        <v>0</v>
      </c>
      <c r="R7" s="1">
        <v>0</v>
      </c>
      <c r="S7" s="1">
        <f>'July 2022'!S7+'Aug 2022  '!R7</f>
        <v>1.01</v>
      </c>
      <c r="T7" s="1">
        <f>O7+P7-R7</f>
        <v>8.436000000000007</v>
      </c>
      <c r="U7" s="1">
        <f>H7+N7+T7</f>
        <v>725.6339999999999</v>
      </c>
    </row>
    <row r="8" spans="1:21" ht="38.25" customHeight="1">
      <c r="A8" s="80">
        <v>2</v>
      </c>
      <c r="B8" s="82" t="s">
        <v>14</v>
      </c>
      <c r="C8" s="1">
        <f>'July 2022'!H8</f>
        <v>265.39</v>
      </c>
      <c r="D8" s="1">
        <v>0</v>
      </c>
      <c r="E8" s="1">
        <f>'July 2022'!E8+'Aug 2022  '!D8</f>
        <v>0</v>
      </c>
      <c r="F8" s="1">
        <v>0</v>
      </c>
      <c r="G8" s="1">
        <f>'July 2022'!G8+'Aug 2022  '!F8</f>
        <v>0</v>
      </c>
      <c r="H8" s="1">
        <f t="shared" ref="H8:H48" si="0">C8+D8-F8</f>
        <v>265.39</v>
      </c>
      <c r="I8" s="1">
        <f>'July 2022'!N8</f>
        <v>330.85500000000002</v>
      </c>
      <c r="J8" s="1">
        <v>2.2999999999999998</v>
      </c>
      <c r="K8" s="1">
        <f>'July 2022'!K8+'Aug 2022  '!J8</f>
        <v>21.175000000000001</v>
      </c>
      <c r="L8" s="1">
        <v>0</v>
      </c>
      <c r="M8" s="1">
        <f>'July 2022'!M8+'Aug 2022  '!L8</f>
        <v>0</v>
      </c>
      <c r="N8" s="1">
        <f t="shared" ref="N8:N48" si="1">I8+J8-L8</f>
        <v>333.15500000000003</v>
      </c>
      <c r="O8" s="1">
        <f>'July 2022'!T8</f>
        <v>66.290000000000006</v>
      </c>
      <c r="P8" s="1">
        <v>0</v>
      </c>
      <c r="Q8" s="1">
        <f>'July 2022'!Q8+'Aug 2022  '!P8</f>
        <v>0</v>
      </c>
      <c r="R8" s="1">
        <v>0</v>
      </c>
      <c r="S8" s="1">
        <f>'July 2022'!S8+'Aug 2022  '!R8</f>
        <v>0</v>
      </c>
      <c r="T8" s="1">
        <f t="shared" ref="T8:T48" si="2">O8+P8-R8</f>
        <v>66.290000000000006</v>
      </c>
      <c r="U8" s="1">
        <f t="shared" ref="U8:U48" si="3">H8+N8+T8</f>
        <v>664.83500000000004</v>
      </c>
    </row>
    <row r="9" spans="1:21" ht="38.25" customHeight="1">
      <c r="A9" s="80">
        <v>3</v>
      </c>
      <c r="B9" s="82" t="s">
        <v>15</v>
      </c>
      <c r="C9" s="1">
        <f>'July 2022'!H9</f>
        <v>209.16</v>
      </c>
      <c r="D9" s="1">
        <v>0</v>
      </c>
      <c r="E9" s="1">
        <f>'July 2022'!E9+'Aug 2022  '!D9</f>
        <v>0</v>
      </c>
      <c r="F9" s="1">
        <v>0</v>
      </c>
      <c r="G9" s="1">
        <f>'July 2022'!G9+'Aug 2022  '!F9</f>
        <v>0</v>
      </c>
      <c r="H9" s="1">
        <f t="shared" si="0"/>
        <v>209.16</v>
      </c>
      <c r="I9" s="1">
        <f>'July 2022'!N9</f>
        <v>789.30800000000011</v>
      </c>
      <c r="J9" s="1">
        <f>2.3+8.59</f>
        <v>10.89</v>
      </c>
      <c r="K9" s="1">
        <f>'July 2022'!K9+'Aug 2022  '!J9</f>
        <v>99.169999999999987</v>
      </c>
      <c r="L9" s="1">
        <v>0</v>
      </c>
      <c r="M9" s="1">
        <f>'July 2022'!M9+'Aug 2022  '!L9</f>
        <v>0</v>
      </c>
      <c r="N9" s="1">
        <f t="shared" si="1"/>
        <v>800.19800000000009</v>
      </c>
      <c r="O9" s="1">
        <f>'July 2022'!T9</f>
        <v>44.739999999999995</v>
      </c>
      <c r="P9" s="1">
        <v>0</v>
      </c>
      <c r="Q9" s="1">
        <f>'July 2022'!Q9+'Aug 2022  '!P9</f>
        <v>0</v>
      </c>
      <c r="R9" s="1">
        <v>0</v>
      </c>
      <c r="S9" s="1">
        <f>'July 2022'!S9+'Aug 2022  '!R9</f>
        <v>0</v>
      </c>
      <c r="T9" s="1">
        <f t="shared" si="2"/>
        <v>44.739999999999995</v>
      </c>
      <c r="U9" s="1">
        <f t="shared" si="3"/>
        <v>1054.098</v>
      </c>
    </row>
    <row r="10" spans="1:21" s="7" customFormat="1" ht="38.25" customHeight="1">
      <c r="A10" s="80">
        <v>4</v>
      </c>
      <c r="B10" s="82" t="s">
        <v>16</v>
      </c>
      <c r="C10" s="1">
        <f>'July 2022'!H10</f>
        <v>0</v>
      </c>
      <c r="D10" s="1">
        <v>0</v>
      </c>
      <c r="E10" s="1">
        <f>'July 2022'!E10+'Aug 2022  '!D10</f>
        <v>0</v>
      </c>
      <c r="F10" s="1">
        <v>0</v>
      </c>
      <c r="G10" s="1">
        <f>'July 2022'!G10+'Aug 2022  '!F10</f>
        <v>0</v>
      </c>
      <c r="H10" s="1">
        <f t="shared" si="0"/>
        <v>0</v>
      </c>
      <c r="I10" s="1">
        <f>'July 2022'!N10</f>
        <v>347.44999999999993</v>
      </c>
      <c r="J10" s="1">
        <v>1.55</v>
      </c>
      <c r="K10" s="1">
        <f>'July 2022'!K10+'Aug 2022  '!J10</f>
        <v>6.625</v>
      </c>
      <c r="L10" s="1">
        <v>0</v>
      </c>
      <c r="M10" s="1">
        <f>'July 2022'!M10+'Aug 2022  '!L10</f>
        <v>0</v>
      </c>
      <c r="N10" s="1">
        <f t="shared" si="1"/>
        <v>348.99999999999994</v>
      </c>
      <c r="O10" s="1">
        <f>'July 2022'!T10</f>
        <v>0.20000000000000007</v>
      </c>
      <c r="P10" s="1">
        <v>0</v>
      </c>
      <c r="Q10" s="1">
        <f>'July 2022'!Q10+'Aug 2022  '!P10</f>
        <v>0</v>
      </c>
      <c r="R10" s="1">
        <v>0</v>
      </c>
      <c r="S10" s="1">
        <f>'July 2022'!S10+'Aug 2022  '!R10</f>
        <v>0</v>
      </c>
      <c r="T10" s="1">
        <f t="shared" si="2"/>
        <v>0.20000000000000007</v>
      </c>
      <c r="U10" s="1">
        <f t="shared" si="3"/>
        <v>349.19999999999993</v>
      </c>
    </row>
    <row r="11" spans="1:21" s="7" customFormat="1" ht="38.25" customHeight="1">
      <c r="A11" s="79"/>
      <c r="B11" s="81" t="s">
        <v>17</v>
      </c>
      <c r="C11" s="2">
        <f>'July 2022'!H11</f>
        <v>522.79</v>
      </c>
      <c r="D11" s="2">
        <f t="shared" ref="D11:U11" si="4">SUM(D7:D10)</f>
        <v>0</v>
      </c>
      <c r="E11" s="2">
        <f>'July 2022'!E11+'Aug 2022  '!D11</f>
        <v>0</v>
      </c>
      <c r="F11" s="2">
        <f t="shared" si="4"/>
        <v>0</v>
      </c>
      <c r="G11" s="2">
        <f>'July 2022'!G11+'Aug 2022  '!F11</f>
        <v>41.8</v>
      </c>
      <c r="H11" s="2">
        <f t="shared" si="4"/>
        <v>522.79</v>
      </c>
      <c r="I11" s="2">
        <f>'July 2022'!N11</f>
        <v>2135.3789999999999</v>
      </c>
      <c r="J11" s="2">
        <f t="shared" si="4"/>
        <v>15.932000000000002</v>
      </c>
      <c r="K11" s="2">
        <f>'July 2022'!K11+'Aug 2022  '!J11</f>
        <v>211.71099999999996</v>
      </c>
      <c r="L11" s="2">
        <f t="shared" si="4"/>
        <v>0</v>
      </c>
      <c r="M11" s="2">
        <f>'July 2022'!M11+'Aug 2022  '!L11</f>
        <v>0</v>
      </c>
      <c r="N11" s="2">
        <f t="shared" si="4"/>
        <v>2151.3109999999997</v>
      </c>
      <c r="O11" s="2">
        <f>'July 2022'!T11</f>
        <v>119.66600000000001</v>
      </c>
      <c r="P11" s="2">
        <f t="shared" si="4"/>
        <v>0</v>
      </c>
      <c r="Q11" s="2">
        <f>'July 2022'!Q11+'Aug 2022  '!P11</f>
        <v>0</v>
      </c>
      <c r="R11" s="2">
        <f t="shared" si="4"/>
        <v>0</v>
      </c>
      <c r="S11" s="2">
        <f>'July 2022'!S11+'Aug 2022  '!R11</f>
        <v>1.01</v>
      </c>
      <c r="T11" s="2">
        <f t="shared" si="4"/>
        <v>119.66600000000001</v>
      </c>
      <c r="U11" s="2">
        <f t="shared" si="4"/>
        <v>2793.7669999999998</v>
      </c>
    </row>
    <row r="12" spans="1:21" ht="38.25" customHeight="1">
      <c r="A12" s="80">
        <v>5</v>
      </c>
      <c r="B12" s="82" t="s">
        <v>18</v>
      </c>
      <c r="C12" s="1">
        <f>'July 2022'!H12</f>
        <v>355.3099999999996</v>
      </c>
      <c r="D12" s="1">
        <v>0</v>
      </c>
      <c r="E12" s="1">
        <f>'July 2022'!E12+'Aug 2022  '!D12</f>
        <v>0</v>
      </c>
      <c r="F12" s="1">
        <v>0</v>
      </c>
      <c r="G12" s="1">
        <f>'July 2022'!G12+'Aug 2022  '!F12</f>
        <v>0</v>
      </c>
      <c r="H12" s="1">
        <f t="shared" si="0"/>
        <v>355.3099999999996</v>
      </c>
      <c r="I12" s="1">
        <f>'July 2022'!N12</f>
        <v>852.19499999999994</v>
      </c>
      <c r="J12" s="31">
        <v>2.62</v>
      </c>
      <c r="K12" s="1">
        <f>'July 2022'!K12+'Aug 2022  '!J12</f>
        <v>50.109999999999992</v>
      </c>
      <c r="L12" s="1">
        <v>0</v>
      </c>
      <c r="M12" s="1">
        <f>'July 2022'!M12+'Aug 2022  '!L12</f>
        <v>0</v>
      </c>
      <c r="N12" s="1">
        <f t="shared" si="1"/>
        <v>854.81499999999994</v>
      </c>
      <c r="O12" s="1">
        <f>'July 2022'!T12</f>
        <v>36.850000000000009</v>
      </c>
      <c r="P12" s="1">
        <v>0</v>
      </c>
      <c r="Q12" s="1">
        <f>'July 2022'!Q12+'Aug 2022  '!P12</f>
        <v>0</v>
      </c>
      <c r="R12" s="1">
        <v>0</v>
      </c>
      <c r="S12" s="1">
        <f>'July 2022'!S12+'Aug 2022  '!R12</f>
        <v>0</v>
      </c>
      <c r="T12" s="1">
        <f t="shared" si="2"/>
        <v>36.850000000000009</v>
      </c>
      <c r="U12" s="1">
        <f t="shared" si="3"/>
        <v>1246.9749999999995</v>
      </c>
    </row>
    <row r="13" spans="1:21" ht="38.25" customHeight="1">
      <c r="A13" s="80">
        <v>6</v>
      </c>
      <c r="B13" s="82" t="s">
        <v>19</v>
      </c>
      <c r="C13" s="1">
        <f>'July 2022'!H13</f>
        <v>312.23000000000013</v>
      </c>
      <c r="D13" s="1">
        <v>0</v>
      </c>
      <c r="E13" s="1">
        <f>'July 2022'!E13+'Aug 2022  '!D13</f>
        <v>0</v>
      </c>
      <c r="F13" s="1">
        <v>0</v>
      </c>
      <c r="G13" s="1">
        <f>'July 2022'!G13+'Aug 2022  '!F13</f>
        <v>0</v>
      </c>
      <c r="H13" s="1">
        <f t="shared" si="0"/>
        <v>312.23000000000013</v>
      </c>
      <c r="I13" s="1">
        <f>'July 2022'!N13</f>
        <v>531.45200000000023</v>
      </c>
      <c r="J13" s="31">
        <v>0.31</v>
      </c>
      <c r="K13" s="1">
        <f>'July 2022'!K13+'Aug 2022  '!J13</f>
        <v>3.93</v>
      </c>
      <c r="L13" s="1">
        <v>0</v>
      </c>
      <c r="M13" s="1">
        <f>'July 2022'!M13+'Aug 2022  '!L13</f>
        <v>0.7</v>
      </c>
      <c r="N13" s="1">
        <f t="shared" si="1"/>
        <v>531.76200000000017</v>
      </c>
      <c r="O13" s="1">
        <f>'July 2022'!T13</f>
        <v>68.39</v>
      </c>
      <c r="P13" s="1">
        <v>0</v>
      </c>
      <c r="Q13" s="1">
        <f>'July 2022'!Q13+'Aug 2022  '!P13</f>
        <v>0</v>
      </c>
      <c r="R13" s="1">
        <v>0</v>
      </c>
      <c r="S13" s="1">
        <f>'July 2022'!S13+'Aug 2022  '!R13</f>
        <v>0</v>
      </c>
      <c r="T13" s="1">
        <f t="shared" si="2"/>
        <v>68.39</v>
      </c>
      <c r="U13" s="1">
        <f t="shared" si="3"/>
        <v>912.38200000000029</v>
      </c>
    </row>
    <row r="14" spans="1:21" s="7" customFormat="1" ht="38.25" customHeight="1">
      <c r="A14" s="80">
        <v>7</v>
      </c>
      <c r="B14" s="82" t="s">
        <v>20</v>
      </c>
      <c r="C14" s="1">
        <f>'July 2022'!H14</f>
        <v>1216.4399999999994</v>
      </c>
      <c r="D14" s="1">
        <v>0</v>
      </c>
      <c r="E14" s="1">
        <f>'July 2022'!E14+'Aug 2022  '!D14</f>
        <v>0</v>
      </c>
      <c r="F14" s="1">
        <v>0</v>
      </c>
      <c r="G14" s="1">
        <f>'July 2022'!G14+'Aug 2022  '!F14</f>
        <v>0</v>
      </c>
      <c r="H14" s="1">
        <f t="shared" si="0"/>
        <v>1216.4399999999994</v>
      </c>
      <c r="I14" s="1">
        <f>'July 2022'!N14</f>
        <v>875.09800000000018</v>
      </c>
      <c r="J14" s="31">
        <v>3.41</v>
      </c>
      <c r="K14" s="1">
        <f>'July 2022'!K14+'Aug 2022  '!J14</f>
        <v>13.72</v>
      </c>
      <c r="L14" s="1">
        <v>0</v>
      </c>
      <c r="M14" s="1">
        <f>'July 2022'!M14+'Aug 2022  '!L14</f>
        <v>0</v>
      </c>
      <c r="N14" s="1">
        <f t="shared" si="1"/>
        <v>878.50800000000015</v>
      </c>
      <c r="O14" s="1">
        <f>'July 2022'!T14</f>
        <v>61.329999999999991</v>
      </c>
      <c r="P14" s="1">
        <v>0</v>
      </c>
      <c r="Q14" s="1">
        <f>'July 2022'!Q14+'Aug 2022  '!P14</f>
        <v>0</v>
      </c>
      <c r="R14" s="1">
        <v>0</v>
      </c>
      <c r="S14" s="1">
        <f>'July 2022'!S14+'Aug 2022  '!R14</f>
        <v>0</v>
      </c>
      <c r="T14" s="1">
        <f t="shared" si="2"/>
        <v>61.329999999999991</v>
      </c>
      <c r="U14" s="1">
        <f t="shared" si="3"/>
        <v>2156.2779999999993</v>
      </c>
    </row>
    <row r="15" spans="1:21" s="7" customFormat="1" ht="38.25" customHeight="1">
      <c r="A15" s="79"/>
      <c r="B15" s="81" t="s">
        <v>21</v>
      </c>
      <c r="C15" s="2">
        <f>'July 2022'!H15</f>
        <v>1883.9799999999991</v>
      </c>
      <c r="D15" s="2">
        <f t="shared" ref="D15:U15" si="5">SUM(D12:D14)</f>
        <v>0</v>
      </c>
      <c r="E15" s="2">
        <f>'July 2022'!E15+'Aug 2022  '!D15</f>
        <v>0</v>
      </c>
      <c r="F15" s="2">
        <f t="shared" si="5"/>
        <v>0</v>
      </c>
      <c r="G15" s="2">
        <f>'July 2022'!G15+'Aug 2022  '!F15</f>
        <v>0</v>
      </c>
      <c r="H15" s="2">
        <f t="shared" si="5"/>
        <v>1883.9799999999991</v>
      </c>
      <c r="I15" s="2">
        <f>'July 2022'!N15</f>
        <v>2258.7450000000003</v>
      </c>
      <c r="J15" s="2">
        <f t="shared" si="5"/>
        <v>6.34</v>
      </c>
      <c r="K15" s="2">
        <f>'July 2022'!K15+'Aug 2022  '!J15</f>
        <v>67.759999999999991</v>
      </c>
      <c r="L15" s="2">
        <f t="shared" si="5"/>
        <v>0</v>
      </c>
      <c r="M15" s="2">
        <f>'July 2022'!M15+'Aug 2022  '!L15</f>
        <v>0.7</v>
      </c>
      <c r="N15" s="2">
        <f t="shared" si="5"/>
        <v>2265.0850000000005</v>
      </c>
      <c r="O15" s="2">
        <f>'July 2022'!T15</f>
        <v>166.57</v>
      </c>
      <c r="P15" s="2">
        <f t="shared" si="5"/>
        <v>0</v>
      </c>
      <c r="Q15" s="2">
        <f>'July 2022'!Q15+'Aug 2022  '!P15</f>
        <v>0</v>
      </c>
      <c r="R15" s="2">
        <f t="shared" si="5"/>
        <v>0</v>
      </c>
      <c r="S15" s="2">
        <f>'July 2022'!S15+'Aug 2022  '!R15</f>
        <v>0</v>
      </c>
      <c r="T15" s="2">
        <f t="shared" si="5"/>
        <v>166.57</v>
      </c>
      <c r="U15" s="2">
        <f t="shared" si="5"/>
        <v>4315.6349999999993</v>
      </c>
    </row>
    <row r="16" spans="1:21" s="16" customFormat="1" ht="38.25" customHeight="1">
      <c r="A16" s="80">
        <v>8</v>
      </c>
      <c r="B16" s="82" t="s">
        <v>22</v>
      </c>
      <c r="C16" s="1">
        <f>'July 2022'!H16</f>
        <v>976.30400000000031</v>
      </c>
      <c r="D16" s="1">
        <v>0.24</v>
      </c>
      <c r="E16" s="1">
        <f>'July 2022'!E16+'Aug 2022  '!D16</f>
        <v>1.45</v>
      </c>
      <c r="F16" s="1">
        <v>8.59</v>
      </c>
      <c r="G16" s="1">
        <f>'July 2022'!G16+'Aug 2022  '!F16</f>
        <v>27.34</v>
      </c>
      <c r="H16" s="1">
        <f t="shared" si="0"/>
        <v>967.95400000000029</v>
      </c>
      <c r="I16" s="1">
        <f>'July 2022'!N16</f>
        <v>354.34599999999995</v>
      </c>
      <c r="J16" s="1">
        <v>0.71</v>
      </c>
      <c r="K16" s="1">
        <f>'July 2022'!K16+'Aug 2022  '!J16</f>
        <v>56.01</v>
      </c>
      <c r="L16" s="1">
        <v>0</v>
      </c>
      <c r="M16" s="1">
        <f>'July 2022'!M16+'Aug 2022  '!L16</f>
        <v>0</v>
      </c>
      <c r="N16" s="1">
        <f t="shared" si="1"/>
        <v>355.05599999999993</v>
      </c>
      <c r="O16" s="1">
        <f>'July 2022'!T16</f>
        <v>177.41200000000003</v>
      </c>
      <c r="P16" s="1">
        <v>0</v>
      </c>
      <c r="Q16" s="1">
        <f>'July 2022'!Q16+'Aug 2022  '!P16</f>
        <v>0</v>
      </c>
      <c r="R16" s="1">
        <v>0</v>
      </c>
      <c r="S16" s="1">
        <f>'July 2022'!S16+'Aug 2022  '!R16</f>
        <v>0</v>
      </c>
      <c r="T16" s="1">
        <f t="shared" si="2"/>
        <v>177.41200000000003</v>
      </c>
      <c r="U16" s="1">
        <f t="shared" si="3"/>
        <v>1500.4220000000003</v>
      </c>
    </row>
    <row r="17" spans="1:23" ht="61.5" customHeight="1">
      <c r="A17" s="17">
        <v>9</v>
      </c>
      <c r="B17" s="26" t="s">
        <v>23</v>
      </c>
      <c r="C17" s="1">
        <f>'July 2022'!H17</f>
        <v>2.6759999999999478</v>
      </c>
      <c r="D17" s="1">
        <v>0</v>
      </c>
      <c r="E17" s="1">
        <f>'July 2022'!E17+'Aug 2022  '!D17</f>
        <v>0</v>
      </c>
      <c r="F17" s="1">
        <v>0</v>
      </c>
      <c r="G17" s="1">
        <f>'July 2022'!G17+'Aug 2022  '!F17</f>
        <v>3.74</v>
      </c>
      <c r="H17" s="1">
        <f t="shared" si="0"/>
        <v>2.6759999999999478</v>
      </c>
      <c r="I17" s="1">
        <f>'July 2022'!N17</f>
        <v>563.0200000000001</v>
      </c>
      <c r="J17" s="1">
        <v>4.05</v>
      </c>
      <c r="K17" s="1">
        <f>'July 2022'!K17+'Aug 2022  '!J17</f>
        <v>55.32</v>
      </c>
      <c r="L17" s="1">
        <v>0</v>
      </c>
      <c r="M17" s="1">
        <f>'July 2022'!M17+'Aug 2022  '!L17</f>
        <v>0</v>
      </c>
      <c r="N17" s="1">
        <f t="shared" si="1"/>
        <v>567.07000000000005</v>
      </c>
      <c r="O17" s="1">
        <f>'July 2022'!T17</f>
        <v>1.2400000000000002</v>
      </c>
      <c r="P17" s="1">
        <v>0.73</v>
      </c>
      <c r="Q17" s="1">
        <f>'July 2022'!Q17+'Aug 2022  '!P17</f>
        <v>1.3399999999999999</v>
      </c>
      <c r="R17" s="1">
        <v>0</v>
      </c>
      <c r="S17" s="1">
        <f>'July 2022'!S17+'Aug 2022  '!R17</f>
        <v>5.7</v>
      </c>
      <c r="T17" s="1">
        <f t="shared" si="2"/>
        <v>1.9700000000000002</v>
      </c>
      <c r="U17" s="1">
        <f t="shared" si="3"/>
        <v>571.71600000000001</v>
      </c>
    </row>
    <row r="18" spans="1:23" s="7" customFormat="1" ht="38.25" customHeight="1">
      <c r="A18" s="80">
        <v>10</v>
      </c>
      <c r="B18" s="82" t="s">
        <v>24</v>
      </c>
      <c r="C18" s="1">
        <f>'July 2022'!H18</f>
        <v>136.0160000000001</v>
      </c>
      <c r="D18" s="1">
        <v>0</v>
      </c>
      <c r="E18" s="1">
        <f>'July 2022'!E18+'Aug 2022  '!D18</f>
        <v>0.24</v>
      </c>
      <c r="F18" s="1">
        <v>0</v>
      </c>
      <c r="G18" s="1">
        <f>'July 2022'!G18+'Aug 2022  '!F18</f>
        <v>0</v>
      </c>
      <c r="H18" s="1">
        <f t="shared" si="0"/>
        <v>136.0160000000001</v>
      </c>
      <c r="I18" s="1">
        <f>'July 2022'!N18</f>
        <v>489.85699999999997</v>
      </c>
      <c r="J18" s="1">
        <v>0.54</v>
      </c>
      <c r="K18" s="1">
        <f>'July 2022'!K18+'Aug 2022  '!J18</f>
        <v>4.8600000000000003</v>
      </c>
      <c r="L18" s="1">
        <v>0</v>
      </c>
      <c r="M18" s="1">
        <f>'July 2022'!M18+'Aug 2022  '!L18</f>
        <v>0</v>
      </c>
      <c r="N18" s="1">
        <f t="shared" si="1"/>
        <v>490.39699999999999</v>
      </c>
      <c r="O18" s="1">
        <f>'July 2022'!T18</f>
        <v>38.869999999999997</v>
      </c>
      <c r="P18" s="1">
        <v>0</v>
      </c>
      <c r="Q18" s="1">
        <f>'July 2022'!Q18+'Aug 2022  '!P18</f>
        <v>0</v>
      </c>
      <c r="R18" s="1">
        <v>0</v>
      </c>
      <c r="S18" s="1">
        <f>'July 2022'!S18+'Aug 2022  '!R18</f>
        <v>0</v>
      </c>
      <c r="T18" s="1">
        <f t="shared" si="2"/>
        <v>38.869999999999997</v>
      </c>
      <c r="U18" s="1">
        <f t="shared" si="3"/>
        <v>665.28300000000013</v>
      </c>
    </row>
    <row r="19" spans="1:23" s="7" customFormat="1" ht="38.25" customHeight="1">
      <c r="A19" s="79"/>
      <c r="B19" s="81" t="s">
        <v>25</v>
      </c>
      <c r="C19" s="2">
        <f>'July 2022'!H19</f>
        <v>1114.9960000000003</v>
      </c>
      <c r="D19" s="2">
        <f t="shared" ref="D19:U19" si="6">SUM(D16:D18)</f>
        <v>0.24</v>
      </c>
      <c r="E19" s="2">
        <f>'July 2022'!E19+'Aug 2022  '!D19</f>
        <v>1.69</v>
      </c>
      <c r="F19" s="2">
        <f t="shared" si="6"/>
        <v>8.59</v>
      </c>
      <c r="G19" s="2">
        <f>'July 2022'!G19+'Aug 2022  '!F19</f>
        <v>31.080000000000002</v>
      </c>
      <c r="H19" s="2">
        <f t="shared" si="6"/>
        <v>1106.6460000000004</v>
      </c>
      <c r="I19" s="2">
        <f>'July 2022'!N19</f>
        <v>1407.223</v>
      </c>
      <c r="J19" s="2">
        <f t="shared" si="6"/>
        <v>5.3</v>
      </c>
      <c r="K19" s="2">
        <f>'July 2022'!K19+'Aug 2022  '!J19</f>
        <v>116.18999999999998</v>
      </c>
      <c r="L19" s="2">
        <f t="shared" si="6"/>
        <v>0</v>
      </c>
      <c r="M19" s="2">
        <f>'July 2022'!M19+'Aug 2022  '!L19</f>
        <v>0</v>
      </c>
      <c r="N19" s="2">
        <f t="shared" si="6"/>
        <v>1412.5229999999999</v>
      </c>
      <c r="O19" s="2">
        <f>'July 2022'!T19</f>
        <v>217.52200000000005</v>
      </c>
      <c r="P19" s="2">
        <f t="shared" si="6"/>
        <v>0.73</v>
      </c>
      <c r="Q19" s="2">
        <f>'July 2022'!Q19+'Aug 2022  '!P19</f>
        <v>1.3399999999999999</v>
      </c>
      <c r="R19" s="2">
        <f t="shared" si="6"/>
        <v>0</v>
      </c>
      <c r="S19" s="2">
        <f>'July 2022'!S19+'Aug 2022  '!R19</f>
        <v>5.7</v>
      </c>
      <c r="T19" s="2">
        <f t="shared" si="6"/>
        <v>218.25200000000004</v>
      </c>
      <c r="U19" s="2">
        <f t="shared" si="6"/>
        <v>2737.4210000000003</v>
      </c>
    </row>
    <row r="20" spans="1:23" ht="38.25" customHeight="1">
      <c r="A20" s="80">
        <v>11</v>
      </c>
      <c r="B20" s="82" t="s">
        <v>26</v>
      </c>
      <c r="C20" s="1">
        <f>'July 2022'!H20</f>
        <v>607.12999999999988</v>
      </c>
      <c r="D20" s="1">
        <v>0.15</v>
      </c>
      <c r="E20" s="1">
        <f>'July 2022'!E20+'Aug 2022  '!D20</f>
        <v>1.62</v>
      </c>
      <c r="F20" s="1">
        <v>0</v>
      </c>
      <c r="G20" s="1">
        <f>'July 2022'!G20+'Aug 2022  '!F20</f>
        <v>24.91</v>
      </c>
      <c r="H20" s="1">
        <f t="shared" si="0"/>
        <v>607.27999999999986</v>
      </c>
      <c r="I20" s="1">
        <f>'July 2022'!N20</f>
        <v>720.22800000000018</v>
      </c>
      <c r="J20" s="1">
        <v>1.17</v>
      </c>
      <c r="K20" s="1">
        <f>'July 2022'!K20+'Aug 2022  '!J20</f>
        <v>323.25</v>
      </c>
      <c r="L20" s="1">
        <v>0</v>
      </c>
      <c r="M20" s="1">
        <f>'July 2022'!M20+'Aug 2022  '!L20</f>
        <v>1.04</v>
      </c>
      <c r="N20" s="1">
        <f t="shared" si="1"/>
        <v>721.39800000000014</v>
      </c>
      <c r="O20" s="1">
        <f>'July 2022'!T20</f>
        <v>37.580000000000005</v>
      </c>
      <c r="P20" s="1">
        <v>0</v>
      </c>
      <c r="Q20" s="1">
        <f>'July 2022'!Q20+'Aug 2022  '!P20</f>
        <v>0</v>
      </c>
      <c r="R20" s="1">
        <v>0</v>
      </c>
      <c r="S20" s="1">
        <f>'July 2022'!S20+'Aug 2022  '!R20</f>
        <v>2.77</v>
      </c>
      <c r="T20" s="1">
        <f t="shared" si="2"/>
        <v>37.580000000000005</v>
      </c>
      <c r="U20" s="1">
        <f t="shared" si="3"/>
        <v>1366.2579999999998</v>
      </c>
      <c r="W20" s="145"/>
    </row>
    <row r="21" spans="1:23" ht="38.25" customHeight="1">
      <c r="A21" s="80">
        <v>12</v>
      </c>
      <c r="B21" s="82" t="s">
        <v>27</v>
      </c>
      <c r="C21" s="1">
        <f>'July 2022'!H21</f>
        <v>22.51</v>
      </c>
      <c r="D21" s="1">
        <v>0</v>
      </c>
      <c r="E21" s="1">
        <f>'July 2022'!E21+'Aug 2022  '!D21</f>
        <v>0</v>
      </c>
      <c r="F21" s="1">
        <v>0</v>
      </c>
      <c r="G21" s="1">
        <f>'July 2022'!G21+'Aug 2022  '!F21</f>
        <v>0</v>
      </c>
      <c r="H21" s="1">
        <f t="shared" si="0"/>
        <v>22.51</v>
      </c>
      <c r="I21" s="1">
        <f>'July 2022'!N21</f>
        <v>418.18700000000001</v>
      </c>
      <c r="J21" s="1">
        <v>0.41</v>
      </c>
      <c r="K21" s="1">
        <f>'July 2022'!K21+'Aug 2022  '!J21</f>
        <v>20.48</v>
      </c>
      <c r="L21" s="1">
        <v>0</v>
      </c>
      <c r="M21" s="1">
        <f>'July 2022'!M21+'Aug 2022  '!L21</f>
        <v>0</v>
      </c>
      <c r="N21" s="1">
        <f t="shared" si="1"/>
        <v>418.59700000000004</v>
      </c>
      <c r="O21" s="1">
        <f>'July 2022'!T21</f>
        <v>19.489999999999998</v>
      </c>
      <c r="P21" s="1">
        <v>0</v>
      </c>
      <c r="Q21" s="1">
        <f>'July 2022'!Q21+'Aug 2022  '!P21</f>
        <v>0.12</v>
      </c>
      <c r="R21" s="1">
        <v>0</v>
      </c>
      <c r="S21" s="1">
        <f>'July 2022'!S21+'Aug 2022  '!R21</f>
        <v>0</v>
      </c>
      <c r="T21" s="1">
        <f t="shared" si="2"/>
        <v>19.489999999999998</v>
      </c>
      <c r="U21" s="1">
        <f t="shared" si="3"/>
        <v>460.59700000000004</v>
      </c>
      <c r="W21" s="145"/>
    </row>
    <row r="22" spans="1:23" s="7" customFormat="1" ht="38.25" customHeight="1">
      <c r="A22" s="80">
        <v>13</v>
      </c>
      <c r="B22" s="82" t="s">
        <v>28</v>
      </c>
      <c r="C22" s="1">
        <f>'July 2022'!H22</f>
        <v>22.430000000000021</v>
      </c>
      <c r="D22" s="1">
        <v>0</v>
      </c>
      <c r="E22" s="1">
        <f>'July 2022'!E22+'Aug 2022  '!D22</f>
        <v>0</v>
      </c>
      <c r="F22" s="1">
        <v>0</v>
      </c>
      <c r="G22" s="1">
        <f>'July 2022'!G22+'Aug 2022  '!F22</f>
        <v>0</v>
      </c>
      <c r="H22" s="1">
        <f t="shared" si="0"/>
        <v>22.430000000000021</v>
      </c>
      <c r="I22" s="1">
        <f>'July 2022'!N22</f>
        <v>692.16</v>
      </c>
      <c r="J22" s="1">
        <v>1.08</v>
      </c>
      <c r="K22" s="1">
        <f>'July 2022'!K22+'Aug 2022  '!J22</f>
        <v>4.3499999999999996</v>
      </c>
      <c r="L22" s="1">
        <v>0</v>
      </c>
      <c r="M22" s="1">
        <f>'July 2022'!M22+'Aug 2022  '!L22</f>
        <v>0.08</v>
      </c>
      <c r="N22" s="1">
        <f t="shared" si="1"/>
        <v>693.24</v>
      </c>
      <c r="O22" s="1">
        <f>'July 2022'!T22</f>
        <v>0.60000000000000098</v>
      </c>
      <c r="P22" s="1">
        <v>0</v>
      </c>
      <c r="Q22" s="1">
        <f>'July 2022'!Q22+'Aug 2022  '!P22</f>
        <v>0</v>
      </c>
      <c r="R22" s="1">
        <v>0</v>
      </c>
      <c r="S22" s="1">
        <f>'July 2022'!S22+'Aug 2022  '!R22</f>
        <v>0</v>
      </c>
      <c r="T22" s="1">
        <f t="shared" si="2"/>
        <v>0.60000000000000098</v>
      </c>
      <c r="U22" s="1">
        <f t="shared" si="3"/>
        <v>716.2700000000001</v>
      </c>
      <c r="W22" s="145"/>
    </row>
    <row r="23" spans="1:23" s="7" customFormat="1" ht="38.25" customHeight="1">
      <c r="A23" s="80">
        <v>14</v>
      </c>
      <c r="B23" s="82" t="s">
        <v>29</v>
      </c>
      <c r="C23" s="1">
        <f>'July 2022'!H23</f>
        <v>430.64</v>
      </c>
      <c r="D23" s="1">
        <v>0</v>
      </c>
      <c r="E23" s="1">
        <f>'July 2022'!E23+'Aug 2022  '!D23</f>
        <v>3.4</v>
      </c>
      <c r="F23" s="1">
        <v>0</v>
      </c>
      <c r="G23" s="1">
        <f>'July 2022'!G23+'Aug 2022  '!F23</f>
        <v>0</v>
      </c>
      <c r="H23" s="1">
        <f t="shared" si="0"/>
        <v>430.64</v>
      </c>
      <c r="I23" s="1">
        <f>'July 2022'!N23</f>
        <v>119.675</v>
      </c>
      <c r="J23" s="1">
        <v>0.41</v>
      </c>
      <c r="K23" s="1">
        <f>'July 2022'!K23+'Aug 2022  '!J23</f>
        <v>18.2</v>
      </c>
      <c r="L23" s="1">
        <v>0</v>
      </c>
      <c r="M23" s="1">
        <f>'July 2022'!M23+'Aug 2022  '!L23</f>
        <v>0</v>
      </c>
      <c r="N23" s="1">
        <f t="shared" si="1"/>
        <v>120.08499999999999</v>
      </c>
      <c r="O23" s="1">
        <f>'July 2022'!T23</f>
        <v>22.5</v>
      </c>
      <c r="P23" s="1">
        <v>0</v>
      </c>
      <c r="Q23" s="1">
        <f>'July 2022'!Q23+'Aug 2022  '!P23</f>
        <v>0</v>
      </c>
      <c r="R23" s="1">
        <v>0</v>
      </c>
      <c r="S23" s="1">
        <f>'July 2022'!S23+'Aug 2022  '!R23</f>
        <v>0</v>
      </c>
      <c r="T23" s="1">
        <f t="shared" si="2"/>
        <v>22.5</v>
      </c>
      <c r="U23" s="1">
        <f t="shared" si="3"/>
        <v>573.22500000000002</v>
      </c>
      <c r="W23" s="145"/>
    </row>
    <row r="24" spans="1:23" s="7" customFormat="1" ht="38.25" customHeight="1">
      <c r="A24" s="79"/>
      <c r="B24" s="81" t="s">
        <v>30</v>
      </c>
      <c r="C24" s="2">
        <f>'July 2022'!H24</f>
        <v>1082.71</v>
      </c>
      <c r="D24" s="2">
        <f t="shared" ref="D24:U24" si="7">SUM(D20:D23)</f>
        <v>0.15</v>
      </c>
      <c r="E24" s="2">
        <f>'July 2022'!E24+'Aug 2022  '!D24</f>
        <v>5.0200000000000005</v>
      </c>
      <c r="F24" s="2">
        <f t="shared" si="7"/>
        <v>0</v>
      </c>
      <c r="G24" s="2">
        <f>'July 2022'!G24+'Aug 2022  '!F24</f>
        <v>24.91</v>
      </c>
      <c r="H24" s="2">
        <f t="shared" si="7"/>
        <v>1082.8599999999999</v>
      </c>
      <c r="I24" s="2">
        <f>'July 2022'!N24</f>
        <v>1950.2500000000002</v>
      </c>
      <c r="J24" s="2">
        <f t="shared" si="7"/>
        <v>3.0700000000000003</v>
      </c>
      <c r="K24" s="2">
        <f>'July 2022'!K24+'Aug 2022  '!J24</f>
        <v>366.28</v>
      </c>
      <c r="L24" s="2">
        <f t="shared" si="7"/>
        <v>0</v>
      </c>
      <c r="M24" s="2">
        <f>'July 2022'!M24+'Aug 2022  '!L24</f>
        <v>1.1200000000000001</v>
      </c>
      <c r="N24" s="2">
        <f t="shared" si="7"/>
        <v>1953.3200000000002</v>
      </c>
      <c r="O24" s="2">
        <f>'July 2022'!T24</f>
        <v>80.170000000000016</v>
      </c>
      <c r="P24" s="2">
        <f t="shared" si="7"/>
        <v>0</v>
      </c>
      <c r="Q24" s="2">
        <f>'July 2022'!Q24+'Aug 2022  '!P24</f>
        <v>0.12</v>
      </c>
      <c r="R24" s="2">
        <f t="shared" si="7"/>
        <v>0</v>
      </c>
      <c r="S24" s="2">
        <f>'July 2022'!S24+'Aug 2022  '!R24</f>
        <v>2.77</v>
      </c>
      <c r="T24" s="2">
        <f t="shared" si="7"/>
        <v>80.170000000000016</v>
      </c>
      <c r="U24" s="2">
        <f t="shared" si="7"/>
        <v>3116.35</v>
      </c>
    </row>
    <row r="25" spans="1:23" s="7" customFormat="1" ht="38.25" customHeight="1">
      <c r="A25" s="79"/>
      <c r="B25" s="81" t="s">
        <v>31</v>
      </c>
      <c r="C25" s="2">
        <f>'July 2022'!H25</f>
        <v>4604.4759999999987</v>
      </c>
      <c r="D25" s="2">
        <f t="shared" ref="D25:U25" si="8">D24+D19+D15+D11</f>
        <v>0.39</v>
      </c>
      <c r="E25" s="2">
        <f>'July 2022'!E25+'Aug 2022  '!D25</f>
        <v>6.71</v>
      </c>
      <c r="F25" s="2">
        <f t="shared" si="8"/>
        <v>8.59</v>
      </c>
      <c r="G25" s="2">
        <f>'July 2022'!G25+'Aug 2022  '!F25</f>
        <v>97.79</v>
      </c>
      <c r="H25" s="2">
        <f t="shared" si="8"/>
        <v>4596.2759999999998</v>
      </c>
      <c r="I25" s="2">
        <f>'July 2022'!N25</f>
        <v>7751.5970000000007</v>
      </c>
      <c r="J25" s="2">
        <f t="shared" si="8"/>
        <v>30.642000000000003</v>
      </c>
      <c r="K25" s="2">
        <f>'July 2022'!K25+'Aug 2022  '!J25</f>
        <v>761.94100000000003</v>
      </c>
      <c r="L25" s="2">
        <f t="shared" si="8"/>
        <v>0</v>
      </c>
      <c r="M25" s="2">
        <f>'July 2022'!M25+'Aug 2022  '!L25</f>
        <v>1.82</v>
      </c>
      <c r="N25" s="2">
        <f t="shared" si="8"/>
        <v>7782.2389999999996</v>
      </c>
      <c r="O25" s="2">
        <f>'July 2022'!T25</f>
        <v>583.92800000000011</v>
      </c>
      <c r="P25" s="2">
        <f t="shared" si="8"/>
        <v>0.73</v>
      </c>
      <c r="Q25" s="2">
        <f>'July 2022'!Q25+'Aug 2022  '!P25</f>
        <v>1.46</v>
      </c>
      <c r="R25" s="2">
        <f t="shared" si="8"/>
        <v>0</v>
      </c>
      <c r="S25" s="2">
        <f>'July 2022'!S25+'Aug 2022  '!R25</f>
        <v>9.48</v>
      </c>
      <c r="T25" s="2">
        <f t="shared" si="8"/>
        <v>584.65800000000002</v>
      </c>
      <c r="U25" s="2">
        <f t="shared" si="8"/>
        <v>12963.172999999999</v>
      </c>
    </row>
    <row r="26" spans="1:23" ht="38.25" customHeight="1">
      <c r="A26" s="80">
        <v>15</v>
      </c>
      <c r="B26" s="82" t="s">
        <v>32</v>
      </c>
      <c r="C26" s="1">
        <f>'July 2022'!H26</f>
        <v>1578.9499999999998</v>
      </c>
      <c r="D26" s="1">
        <v>5.48</v>
      </c>
      <c r="E26" s="1">
        <f>'July 2022'!E26+'Aug 2022  '!D26</f>
        <v>31.45</v>
      </c>
      <c r="F26" s="1">
        <v>0</v>
      </c>
      <c r="G26" s="1">
        <f>'July 2022'!G26+'Aug 2022  '!F26</f>
        <v>0</v>
      </c>
      <c r="H26" s="1">
        <f t="shared" si="0"/>
        <v>1584.4299999999998</v>
      </c>
      <c r="I26" s="1">
        <f>'July 2022'!N26</f>
        <v>67.53</v>
      </c>
      <c r="J26" s="1">
        <v>0.24</v>
      </c>
      <c r="K26" s="1">
        <f>'July 2022'!K26+'Aug 2022  '!J26</f>
        <v>0.44</v>
      </c>
      <c r="L26" s="1">
        <v>0</v>
      </c>
      <c r="M26" s="1">
        <f>'July 2022'!M26+'Aug 2022  '!L26</f>
        <v>0</v>
      </c>
      <c r="N26" s="1">
        <f t="shared" si="1"/>
        <v>67.77</v>
      </c>
      <c r="O26" s="1">
        <f>'July 2022'!T26</f>
        <v>16.11</v>
      </c>
      <c r="P26" s="1">
        <v>0</v>
      </c>
      <c r="Q26" s="1">
        <f>'July 2022'!Q26+'Aug 2022  '!P26</f>
        <v>0</v>
      </c>
      <c r="R26" s="1">
        <v>0</v>
      </c>
      <c r="S26" s="1">
        <f>'July 2022'!S26+'Aug 2022  '!R26</f>
        <v>0</v>
      </c>
      <c r="T26" s="1">
        <f t="shared" si="2"/>
        <v>16.11</v>
      </c>
      <c r="U26" s="1">
        <f t="shared" si="3"/>
        <v>1668.3099999999997</v>
      </c>
    </row>
    <row r="27" spans="1:23" s="7" customFormat="1" ht="38.25" customHeight="1">
      <c r="A27" s="80">
        <v>16</v>
      </c>
      <c r="B27" s="82" t="s">
        <v>33</v>
      </c>
      <c r="C27" s="1">
        <f>'July 2022'!H27</f>
        <v>5632.7850000000026</v>
      </c>
      <c r="D27" s="1">
        <v>9.31</v>
      </c>
      <c r="E27" s="1">
        <f>'July 2022'!E27+'Aug 2022  '!D27</f>
        <v>65.39</v>
      </c>
      <c r="F27" s="1">
        <v>0</v>
      </c>
      <c r="G27" s="1">
        <f>'July 2022'!G27+'Aug 2022  '!F27</f>
        <v>0</v>
      </c>
      <c r="H27" s="1">
        <f t="shared" si="0"/>
        <v>5642.095000000003</v>
      </c>
      <c r="I27" s="1">
        <f>'July 2022'!N27</f>
        <v>601.44799999999998</v>
      </c>
      <c r="J27" s="1">
        <v>0.88</v>
      </c>
      <c r="K27" s="1">
        <f>'July 2022'!K27+'Aug 2022  '!J27</f>
        <v>8.14</v>
      </c>
      <c r="L27" s="1">
        <v>0</v>
      </c>
      <c r="M27" s="1">
        <f>'July 2022'!M27+'Aug 2022  '!L27</f>
        <v>0</v>
      </c>
      <c r="N27" s="1">
        <f t="shared" si="1"/>
        <v>602.32799999999997</v>
      </c>
      <c r="O27" s="1">
        <f>'July 2022'!T27</f>
        <v>33.49</v>
      </c>
      <c r="P27" s="1">
        <v>0.1</v>
      </c>
      <c r="Q27" s="1">
        <f>'July 2022'!Q27+'Aug 2022  '!P27</f>
        <v>0.1</v>
      </c>
      <c r="R27" s="1">
        <v>0</v>
      </c>
      <c r="S27" s="1">
        <f>'July 2022'!S27+'Aug 2022  '!R27</f>
        <v>0</v>
      </c>
      <c r="T27" s="1">
        <f t="shared" si="2"/>
        <v>33.590000000000003</v>
      </c>
      <c r="U27" s="1">
        <f t="shared" si="3"/>
        <v>6278.0130000000026</v>
      </c>
    </row>
    <row r="28" spans="1:23" s="7" customFormat="1" ht="38.25" customHeight="1">
      <c r="A28" s="79"/>
      <c r="B28" s="81" t="s">
        <v>34</v>
      </c>
      <c r="C28" s="2">
        <f>'July 2022'!H28</f>
        <v>7211.7350000000024</v>
      </c>
      <c r="D28" s="2">
        <f t="shared" ref="D28:U28" si="9">SUM(D26:D27)</f>
        <v>14.790000000000001</v>
      </c>
      <c r="E28" s="2">
        <f>'July 2022'!E28+'Aug 2022  '!D28</f>
        <v>96.84</v>
      </c>
      <c r="F28" s="2">
        <f t="shared" si="9"/>
        <v>0</v>
      </c>
      <c r="G28" s="2">
        <f>'July 2022'!G28+'Aug 2022  '!F28</f>
        <v>0</v>
      </c>
      <c r="H28" s="2">
        <f t="shared" si="9"/>
        <v>7226.5250000000033</v>
      </c>
      <c r="I28" s="2">
        <f>'July 2022'!N28</f>
        <v>668.97799999999995</v>
      </c>
      <c r="J28" s="2">
        <f t="shared" si="9"/>
        <v>1.1200000000000001</v>
      </c>
      <c r="K28" s="2">
        <f>'July 2022'!K28+'Aug 2022  '!J28</f>
        <v>8.58</v>
      </c>
      <c r="L28" s="2">
        <f t="shared" si="9"/>
        <v>0</v>
      </c>
      <c r="M28" s="2">
        <f>'July 2022'!M28+'Aug 2022  '!L28</f>
        <v>0</v>
      </c>
      <c r="N28" s="2">
        <f t="shared" si="9"/>
        <v>670.09799999999996</v>
      </c>
      <c r="O28" s="2">
        <f>'July 2022'!T28</f>
        <v>49.6</v>
      </c>
      <c r="P28" s="2">
        <f t="shared" si="9"/>
        <v>0.1</v>
      </c>
      <c r="Q28" s="2">
        <f>'July 2022'!Q28+'Aug 2022  '!P28</f>
        <v>0.1</v>
      </c>
      <c r="R28" s="2">
        <f t="shared" si="9"/>
        <v>0</v>
      </c>
      <c r="S28" s="2">
        <f>'July 2022'!S28+'Aug 2022  '!R28</f>
        <v>0</v>
      </c>
      <c r="T28" s="2">
        <f t="shared" si="9"/>
        <v>49.7</v>
      </c>
      <c r="U28" s="2">
        <f t="shared" si="9"/>
        <v>7946.3230000000021</v>
      </c>
    </row>
    <row r="29" spans="1:23" ht="38.25" customHeight="1">
      <c r="A29" s="80">
        <v>17</v>
      </c>
      <c r="B29" s="82" t="s">
        <v>35</v>
      </c>
      <c r="C29" s="1">
        <f>'July 2022'!H29</f>
        <v>4675.4480000000012</v>
      </c>
      <c r="D29" s="1">
        <f>1.77+38.36</f>
        <v>40.130000000000003</v>
      </c>
      <c r="E29" s="1">
        <f>'July 2022'!E29+'Aug 2022  '!D29</f>
        <v>62.11</v>
      </c>
      <c r="F29" s="1">
        <v>0</v>
      </c>
      <c r="G29" s="1">
        <f>'July 2022'!G29+'Aug 2022  '!F29</f>
        <v>0</v>
      </c>
      <c r="H29" s="1">
        <f t="shared" si="0"/>
        <v>4715.5780000000013</v>
      </c>
      <c r="I29" s="1">
        <f>'July 2022'!N29</f>
        <v>119.39</v>
      </c>
      <c r="J29" s="1">
        <v>0.26</v>
      </c>
      <c r="K29" s="1">
        <f>'July 2022'!K29+'Aug 2022  '!J29</f>
        <v>0.26</v>
      </c>
      <c r="L29" s="1">
        <v>0</v>
      </c>
      <c r="M29" s="1">
        <f>'July 2022'!M29+'Aug 2022  '!L29</f>
        <v>0</v>
      </c>
      <c r="N29" s="1">
        <f t="shared" si="1"/>
        <v>119.65</v>
      </c>
      <c r="O29" s="1">
        <f>'July 2022'!T29</f>
        <v>34.52000000000001</v>
      </c>
      <c r="P29" s="1">
        <v>0</v>
      </c>
      <c r="Q29" s="1">
        <f>'July 2022'!Q29+'Aug 2022  '!P29</f>
        <v>0</v>
      </c>
      <c r="R29" s="1">
        <v>0</v>
      </c>
      <c r="S29" s="1">
        <f>'July 2022'!S29+'Aug 2022  '!R29</f>
        <v>23.2</v>
      </c>
      <c r="T29" s="1">
        <f t="shared" si="2"/>
        <v>34.52000000000001</v>
      </c>
      <c r="U29" s="1">
        <f t="shared" si="3"/>
        <v>4869.7480000000014</v>
      </c>
      <c r="W29" s="146"/>
    </row>
    <row r="30" spans="1:23" ht="54.75" customHeight="1">
      <c r="A30" s="80">
        <v>18</v>
      </c>
      <c r="B30" s="82" t="s">
        <v>36</v>
      </c>
      <c r="C30" s="1">
        <f>'July 2022'!H30</f>
        <v>3646.6299999999997</v>
      </c>
      <c r="D30" s="1">
        <v>4.88</v>
      </c>
      <c r="E30" s="1">
        <f>'July 2022'!E30+'Aug 2022  '!D30</f>
        <v>39.170000000000009</v>
      </c>
      <c r="F30" s="1">
        <v>0</v>
      </c>
      <c r="G30" s="1">
        <f>'July 2022'!G30+'Aug 2022  '!F30</f>
        <v>0</v>
      </c>
      <c r="H30" s="1">
        <f t="shared" si="0"/>
        <v>3651.5099999999998</v>
      </c>
      <c r="I30" s="1">
        <f>'July 2022'!N30</f>
        <v>110.587</v>
      </c>
      <c r="J30" s="1">
        <v>0</v>
      </c>
      <c r="K30" s="1">
        <f>'July 2022'!K30+'Aug 2022  '!J30</f>
        <v>0</v>
      </c>
      <c r="L30" s="1">
        <v>0</v>
      </c>
      <c r="M30" s="1">
        <f>'July 2022'!M30+'Aug 2022  '!L30</f>
        <v>0</v>
      </c>
      <c r="N30" s="1">
        <f t="shared" si="1"/>
        <v>110.587</v>
      </c>
      <c r="O30" s="1">
        <f>'July 2022'!T30</f>
        <v>23.25</v>
      </c>
      <c r="P30" s="1">
        <v>0</v>
      </c>
      <c r="Q30" s="1">
        <f>'July 2022'!Q30+'Aug 2022  '!P30</f>
        <v>0</v>
      </c>
      <c r="R30" s="1">
        <v>0</v>
      </c>
      <c r="S30" s="1">
        <f>'July 2022'!S30+'Aug 2022  '!R30</f>
        <v>0</v>
      </c>
      <c r="T30" s="1">
        <f t="shared" si="2"/>
        <v>23.25</v>
      </c>
      <c r="U30" s="1">
        <f t="shared" si="3"/>
        <v>3785.3469999999998</v>
      </c>
      <c r="W30" s="146"/>
    </row>
    <row r="31" spans="1:23" s="7" customFormat="1" ht="44.25" customHeight="1">
      <c r="A31" s="80">
        <v>19</v>
      </c>
      <c r="B31" s="82" t="s">
        <v>37</v>
      </c>
      <c r="C31" s="1">
        <f>'July 2022'!H31</f>
        <v>4678.8990000000003</v>
      </c>
      <c r="D31" s="1">
        <v>0.22</v>
      </c>
      <c r="E31" s="1">
        <f>'July 2022'!E31+'Aug 2022  '!D31</f>
        <v>13.540000000000001</v>
      </c>
      <c r="F31" s="1">
        <v>0</v>
      </c>
      <c r="G31" s="1">
        <f>'July 2022'!G31+'Aug 2022  '!F31</f>
        <v>0</v>
      </c>
      <c r="H31" s="1">
        <f t="shared" si="0"/>
        <v>4679.1190000000006</v>
      </c>
      <c r="I31" s="1">
        <f>'July 2022'!N31</f>
        <v>107.63000000000002</v>
      </c>
      <c r="J31" s="1">
        <v>0</v>
      </c>
      <c r="K31" s="1">
        <f>'July 2022'!K31+'Aug 2022  '!J31</f>
        <v>0</v>
      </c>
      <c r="L31" s="1">
        <v>0</v>
      </c>
      <c r="M31" s="1">
        <f>'July 2022'!M31+'Aug 2022  '!L31</f>
        <v>0</v>
      </c>
      <c r="N31" s="1">
        <f t="shared" si="1"/>
        <v>107.63000000000002</v>
      </c>
      <c r="O31" s="1">
        <f>'July 2022'!T31</f>
        <v>14.850000000000001</v>
      </c>
      <c r="P31" s="1">
        <v>0</v>
      </c>
      <c r="Q31" s="1">
        <f>'July 2022'!Q31+'Aug 2022  '!P31</f>
        <v>0</v>
      </c>
      <c r="R31" s="1">
        <v>0</v>
      </c>
      <c r="S31" s="1">
        <f>'July 2022'!S31+'Aug 2022  '!R31</f>
        <v>0</v>
      </c>
      <c r="T31" s="1">
        <f t="shared" si="2"/>
        <v>14.850000000000001</v>
      </c>
      <c r="U31" s="1">
        <f t="shared" si="3"/>
        <v>4801.5990000000011</v>
      </c>
      <c r="W31" s="146"/>
    </row>
    <row r="32" spans="1:23" ht="70.5" customHeight="1">
      <c r="A32" s="80">
        <v>20</v>
      </c>
      <c r="B32" s="82" t="s">
        <v>38</v>
      </c>
      <c r="C32" s="1">
        <f>'July 2022'!H32</f>
        <v>2346.3357999999994</v>
      </c>
      <c r="D32" s="1">
        <v>1.42</v>
      </c>
      <c r="E32" s="1">
        <f>'July 2022'!E32+'Aug 2022  '!D32</f>
        <v>14.62</v>
      </c>
      <c r="F32" s="1">
        <v>0</v>
      </c>
      <c r="G32" s="1">
        <f>'July 2022'!G32+'Aug 2022  '!F32</f>
        <v>9.7200000000000006</v>
      </c>
      <c r="H32" s="1">
        <f t="shared" si="0"/>
        <v>2347.7557999999995</v>
      </c>
      <c r="I32" s="1">
        <f>'July 2022'!N32</f>
        <v>86.195999999999998</v>
      </c>
      <c r="J32" s="1">
        <v>0.04</v>
      </c>
      <c r="K32" s="1">
        <f>'July 2022'!K32+'Aug 2022  '!J32</f>
        <v>3.47</v>
      </c>
      <c r="L32" s="1">
        <v>0</v>
      </c>
      <c r="M32" s="1">
        <f>'July 2022'!M32+'Aug 2022  '!L32</f>
        <v>0</v>
      </c>
      <c r="N32" s="1">
        <f t="shared" si="1"/>
        <v>86.236000000000004</v>
      </c>
      <c r="O32" s="1">
        <f>'July 2022'!T32</f>
        <v>67.551999999999992</v>
      </c>
      <c r="P32" s="1">
        <v>0</v>
      </c>
      <c r="Q32" s="1">
        <f>'July 2022'!Q32+'Aug 2022  '!P32</f>
        <v>0</v>
      </c>
      <c r="R32" s="1">
        <v>0</v>
      </c>
      <c r="S32" s="1">
        <f>'July 2022'!S32+'Aug 2022  '!R32</f>
        <v>0</v>
      </c>
      <c r="T32" s="1">
        <f t="shared" si="2"/>
        <v>67.551999999999992</v>
      </c>
      <c r="U32" s="1">
        <f t="shared" si="3"/>
        <v>2501.5437999999995</v>
      </c>
      <c r="W32" s="146"/>
    </row>
    <row r="33" spans="1:23" s="7" customFormat="1" ht="38.25" customHeight="1">
      <c r="A33" s="79"/>
      <c r="B33" s="81" t="s">
        <v>65</v>
      </c>
      <c r="C33" s="2">
        <f>'July 2022'!H33</f>
        <v>15347.312800000002</v>
      </c>
      <c r="D33" s="2">
        <f t="shared" ref="D33:U33" si="10">SUM(D29:D32)</f>
        <v>46.650000000000006</v>
      </c>
      <c r="E33" s="2">
        <f>'July 2022'!E33+'Aug 2022  '!D33</f>
        <v>129.44</v>
      </c>
      <c r="F33" s="2">
        <f t="shared" si="10"/>
        <v>0</v>
      </c>
      <c r="G33" s="2">
        <f>'July 2022'!G33+'Aug 2022  '!F33</f>
        <v>9.7200000000000006</v>
      </c>
      <c r="H33" s="2">
        <f t="shared" si="10"/>
        <v>15393.962800000001</v>
      </c>
      <c r="I33" s="2">
        <f>'July 2022'!N33</f>
        <v>423.803</v>
      </c>
      <c r="J33" s="2">
        <f t="shared" si="10"/>
        <v>0.3</v>
      </c>
      <c r="K33" s="2">
        <f>'July 2022'!K33+'Aug 2022  '!J33</f>
        <v>3.73</v>
      </c>
      <c r="L33" s="2">
        <f t="shared" si="10"/>
        <v>0</v>
      </c>
      <c r="M33" s="2">
        <f>'July 2022'!M33+'Aug 2022  '!L33</f>
        <v>0</v>
      </c>
      <c r="N33" s="2">
        <f t="shared" si="10"/>
        <v>424.10300000000007</v>
      </c>
      <c r="O33" s="2">
        <f>'July 2022'!T33</f>
        <v>140.172</v>
      </c>
      <c r="P33" s="2">
        <f t="shared" si="10"/>
        <v>0</v>
      </c>
      <c r="Q33" s="2">
        <f>'July 2022'!Q33+'Aug 2022  '!P33</f>
        <v>0</v>
      </c>
      <c r="R33" s="2">
        <f t="shared" si="10"/>
        <v>0</v>
      </c>
      <c r="S33" s="2">
        <f>'July 2022'!S33+'Aug 2022  '!R33</f>
        <v>23.2</v>
      </c>
      <c r="T33" s="2">
        <f t="shared" si="10"/>
        <v>140.172</v>
      </c>
      <c r="U33" s="2">
        <f t="shared" si="10"/>
        <v>15958.237800000003</v>
      </c>
    </row>
    <row r="34" spans="1:23" ht="38.25" customHeight="1">
      <c r="A34" s="80">
        <v>21</v>
      </c>
      <c r="B34" s="82" t="s">
        <v>39</v>
      </c>
      <c r="C34" s="1">
        <f>'July 2022'!H34</f>
        <v>4523.71</v>
      </c>
      <c r="D34" s="1">
        <v>13.16</v>
      </c>
      <c r="E34" s="1">
        <f>'July 2022'!E34+'Aug 2022  '!D34</f>
        <v>97.77</v>
      </c>
      <c r="F34" s="1">
        <v>0</v>
      </c>
      <c r="G34" s="1">
        <f>'July 2022'!G34+'Aug 2022  '!F34</f>
        <v>0</v>
      </c>
      <c r="H34" s="1">
        <f t="shared" si="0"/>
        <v>4536.87</v>
      </c>
      <c r="I34" s="1">
        <f>'July 2022'!N34</f>
        <v>84.44</v>
      </c>
      <c r="J34" s="1">
        <v>0.02</v>
      </c>
      <c r="K34" s="1">
        <f>'July 2022'!K34+'Aug 2022  '!J34</f>
        <v>84.46</v>
      </c>
      <c r="L34" s="1">
        <v>0</v>
      </c>
      <c r="M34" s="1">
        <f>'July 2022'!M34+'Aug 2022  '!L34</f>
        <v>0</v>
      </c>
      <c r="N34" s="1">
        <f t="shared" si="1"/>
        <v>84.46</v>
      </c>
      <c r="O34" s="1">
        <f>'July 2022'!T34</f>
        <v>72.7</v>
      </c>
      <c r="P34" s="1">
        <v>0</v>
      </c>
      <c r="Q34" s="1">
        <f>'July 2022'!Q34+'Aug 2022  '!P34</f>
        <v>72.7</v>
      </c>
      <c r="R34" s="1">
        <v>0</v>
      </c>
      <c r="S34" s="1">
        <f>'July 2022'!S34+'Aug 2022  '!R34</f>
        <v>0</v>
      </c>
      <c r="T34" s="1">
        <f t="shared" si="2"/>
        <v>72.7</v>
      </c>
      <c r="U34" s="1">
        <f t="shared" si="3"/>
        <v>4694.03</v>
      </c>
    </row>
    <row r="35" spans="1:23" ht="38.25" customHeight="1">
      <c r="A35" s="80">
        <v>22</v>
      </c>
      <c r="B35" s="82" t="s">
        <v>40</v>
      </c>
      <c r="C35" s="1">
        <f>'July 2022'!H35</f>
        <v>6371.0799999999972</v>
      </c>
      <c r="D35" s="1">
        <v>4.93</v>
      </c>
      <c r="E35" s="1">
        <f>'July 2022'!E35+'Aug 2022  '!D35</f>
        <v>166.43</v>
      </c>
      <c r="F35" s="1">
        <v>0</v>
      </c>
      <c r="G35" s="1">
        <f>'July 2022'!G35+'Aug 2022  '!F35</f>
        <v>0</v>
      </c>
      <c r="H35" s="1">
        <f t="shared" si="0"/>
        <v>6376.0099999999975</v>
      </c>
      <c r="I35" s="1">
        <f>'July 2022'!N35</f>
        <v>33.68</v>
      </c>
      <c r="J35" s="1">
        <v>0.45</v>
      </c>
      <c r="K35" s="1">
        <f>'July 2022'!K35+'Aug 2022  '!J35</f>
        <v>27.21</v>
      </c>
      <c r="L35" s="1">
        <v>0</v>
      </c>
      <c r="M35" s="1">
        <f>'July 2022'!M35+'Aug 2022  '!L35</f>
        <v>0</v>
      </c>
      <c r="N35" s="1">
        <f t="shared" si="1"/>
        <v>34.130000000000003</v>
      </c>
      <c r="O35" s="1">
        <f>'July 2022'!T35</f>
        <v>90.800000000000011</v>
      </c>
      <c r="P35" s="1">
        <v>0</v>
      </c>
      <c r="Q35" s="1">
        <f>'July 2022'!Q35+'Aug 2022  '!P35</f>
        <v>32.380000000000003</v>
      </c>
      <c r="R35" s="1">
        <v>0</v>
      </c>
      <c r="S35" s="1">
        <f>'July 2022'!S35+'Aug 2022  '!R35</f>
        <v>0</v>
      </c>
      <c r="T35" s="1">
        <f t="shared" si="2"/>
        <v>90.800000000000011</v>
      </c>
      <c r="U35" s="1">
        <f t="shared" si="3"/>
        <v>6500.9399999999978</v>
      </c>
    </row>
    <row r="36" spans="1:23" s="7" customFormat="1" ht="38.25" customHeight="1">
      <c r="A36" s="80">
        <v>23</v>
      </c>
      <c r="B36" s="82" t="s">
        <v>41</v>
      </c>
      <c r="C36" s="1">
        <f>'July 2022'!H36</f>
        <v>3548.42</v>
      </c>
      <c r="D36" s="1">
        <v>15.12</v>
      </c>
      <c r="E36" s="1">
        <f>'July 2022'!E36+'Aug 2022  '!D36</f>
        <v>112.44</v>
      </c>
      <c r="F36" s="1">
        <v>0</v>
      </c>
      <c r="G36" s="1">
        <f>'July 2022'!G36+'Aug 2022  '!F36</f>
        <v>0</v>
      </c>
      <c r="H36" s="1">
        <f t="shared" si="0"/>
        <v>3563.54</v>
      </c>
      <c r="I36" s="1">
        <f>'July 2022'!N36</f>
        <v>30.250000000000039</v>
      </c>
      <c r="J36" s="1">
        <v>0</v>
      </c>
      <c r="K36" s="1">
        <f>'July 2022'!K36+'Aug 2022  '!J36</f>
        <v>5.2</v>
      </c>
      <c r="L36" s="1">
        <v>0</v>
      </c>
      <c r="M36" s="1">
        <f>'July 2022'!M36+'Aug 2022  '!L36</f>
        <v>4.63</v>
      </c>
      <c r="N36" s="1">
        <f t="shared" si="1"/>
        <v>30.250000000000039</v>
      </c>
      <c r="O36" s="1">
        <f>'July 2022'!T36</f>
        <v>36.379999999999995</v>
      </c>
      <c r="P36" s="1">
        <v>0</v>
      </c>
      <c r="Q36" s="1">
        <f>'July 2022'!Q36+'Aug 2022  '!P36</f>
        <v>19.29</v>
      </c>
      <c r="R36" s="1">
        <v>0</v>
      </c>
      <c r="S36" s="1">
        <f>'July 2022'!S36+'Aug 2022  '!R36</f>
        <v>0</v>
      </c>
      <c r="T36" s="1">
        <f t="shared" si="2"/>
        <v>36.379999999999995</v>
      </c>
      <c r="U36" s="1">
        <f t="shared" si="3"/>
        <v>3630.17</v>
      </c>
    </row>
    <row r="37" spans="1:23" s="7" customFormat="1" ht="38.25" customHeight="1">
      <c r="A37" s="80">
        <v>24</v>
      </c>
      <c r="B37" s="82" t="s">
        <v>42</v>
      </c>
      <c r="C37" s="1">
        <f>'July 2022'!H37</f>
        <v>4874.1299999999974</v>
      </c>
      <c r="D37" s="1">
        <v>24.21</v>
      </c>
      <c r="E37" s="1">
        <f>'July 2022'!E37+'Aug 2022  '!D37</f>
        <v>110.22</v>
      </c>
      <c r="F37" s="1">
        <v>0</v>
      </c>
      <c r="G37" s="1">
        <f>'July 2022'!G37+'Aug 2022  '!F37</f>
        <v>0</v>
      </c>
      <c r="H37" s="1">
        <f t="shared" si="0"/>
        <v>4898.3399999999974</v>
      </c>
      <c r="I37" s="1">
        <f>'July 2022'!N37</f>
        <v>26.700000000000003</v>
      </c>
      <c r="J37" s="1">
        <v>0</v>
      </c>
      <c r="K37" s="1">
        <f>'July 2022'!K37+'Aug 2022  '!J37</f>
        <v>14.27</v>
      </c>
      <c r="L37" s="1">
        <v>0</v>
      </c>
      <c r="M37" s="1">
        <f>'July 2022'!M37+'Aug 2022  '!L37</f>
        <v>1.06</v>
      </c>
      <c r="N37" s="1">
        <f t="shared" si="1"/>
        <v>26.700000000000003</v>
      </c>
      <c r="O37" s="1">
        <f>'July 2022'!T37</f>
        <v>3.0599999999999996</v>
      </c>
      <c r="P37" s="1">
        <v>0</v>
      </c>
      <c r="Q37" s="1">
        <f>'July 2022'!Q37+'Aug 2022  '!P37</f>
        <v>0</v>
      </c>
      <c r="R37" s="1">
        <v>0</v>
      </c>
      <c r="S37" s="1">
        <f>'July 2022'!S37+'Aug 2022  '!R37</f>
        <v>3.46</v>
      </c>
      <c r="T37" s="1">
        <f t="shared" si="2"/>
        <v>3.0599999999999996</v>
      </c>
      <c r="U37" s="1">
        <f t="shared" si="3"/>
        <v>4928.0999999999976</v>
      </c>
    </row>
    <row r="38" spans="1:23" s="7" customFormat="1" ht="38.25" customHeight="1">
      <c r="A38" s="79"/>
      <c r="B38" s="81" t="s">
        <v>43</v>
      </c>
      <c r="C38" s="2">
        <f>'July 2022'!H38</f>
        <v>19317.339999999997</v>
      </c>
      <c r="D38" s="2">
        <f t="shared" ref="D38:U38" si="11">SUM(D34:D37)</f>
        <v>57.42</v>
      </c>
      <c r="E38" s="2">
        <f>'July 2022'!E38+'Aug 2022  '!D38</f>
        <v>486.86</v>
      </c>
      <c r="F38" s="2">
        <f t="shared" si="11"/>
        <v>0</v>
      </c>
      <c r="G38" s="2">
        <f>'July 2022'!G38+'Aug 2022  '!F38</f>
        <v>0</v>
      </c>
      <c r="H38" s="2">
        <f t="shared" si="11"/>
        <v>19374.759999999995</v>
      </c>
      <c r="I38" s="2">
        <f>'July 2022'!N38</f>
        <v>175.07000000000005</v>
      </c>
      <c r="J38" s="2">
        <f t="shared" si="11"/>
        <v>0.47000000000000003</v>
      </c>
      <c r="K38" s="2">
        <f>'July 2022'!K38+'Aug 2022  '!J38</f>
        <v>131.14000000000001</v>
      </c>
      <c r="L38" s="2">
        <f t="shared" si="11"/>
        <v>0</v>
      </c>
      <c r="M38" s="2">
        <f>'July 2022'!M38+'Aug 2022  '!L38</f>
        <v>5.6899999999999995</v>
      </c>
      <c r="N38" s="2">
        <f t="shared" si="11"/>
        <v>175.54000000000002</v>
      </c>
      <c r="O38" s="2">
        <f>'July 2022'!T38</f>
        <v>202.94</v>
      </c>
      <c r="P38" s="2">
        <f t="shared" si="11"/>
        <v>0</v>
      </c>
      <c r="Q38" s="2">
        <f>'July 2022'!Q38+'Aug 2022  '!P38</f>
        <v>124.37</v>
      </c>
      <c r="R38" s="2">
        <f t="shared" si="11"/>
        <v>0</v>
      </c>
      <c r="S38" s="2">
        <f>'July 2022'!S38+'Aug 2022  '!R38</f>
        <v>3.46</v>
      </c>
      <c r="T38" s="2">
        <f t="shared" si="11"/>
        <v>202.94</v>
      </c>
      <c r="U38" s="2">
        <f t="shared" si="11"/>
        <v>19753.239999999994</v>
      </c>
    </row>
    <row r="39" spans="1:23" s="7" customFormat="1" ht="38.25" customHeight="1">
      <c r="A39" s="79"/>
      <c r="B39" s="81" t="s">
        <v>44</v>
      </c>
      <c r="C39" s="2">
        <f>'July 2022'!H39</f>
        <v>41876.387799999997</v>
      </c>
      <c r="D39" s="2">
        <f t="shared" ref="D39:U39" si="12">D38+D33+D28</f>
        <v>118.86000000000001</v>
      </c>
      <c r="E39" s="2">
        <f>'July 2022'!E39+'Aug 2022  '!D39</f>
        <v>713.14</v>
      </c>
      <c r="F39" s="2">
        <f t="shared" si="12"/>
        <v>0</v>
      </c>
      <c r="G39" s="2">
        <f>'July 2022'!G39+'Aug 2022  '!F39</f>
        <v>9.7200000000000006</v>
      </c>
      <c r="H39" s="2">
        <f t="shared" si="12"/>
        <v>41995.247799999997</v>
      </c>
      <c r="I39" s="2">
        <f>'July 2022'!N39</f>
        <v>1267.8510000000001</v>
      </c>
      <c r="J39" s="2">
        <f t="shared" si="12"/>
        <v>1.8900000000000001</v>
      </c>
      <c r="K39" s="2">
        <f>'July 2022'!K39+'Aug 2022  '!J39</f>
        <v>143.45000000000002</v>
      </c>
      <c r="L39" s="2">
        <f t="shared" si="12"/>
        <v>0</v>
      </c>
      <c r="M39" s="2">
        <f>'July 2022'!M39+'Aug 2022  '!L39</f>
        <v>5.6899999999999995</v>
      </c>
      <c r="N39" s="2">
        <f t="shared" si="12"/>
        <v>1269.741</v>
      </c>
      <c r="O39" s="2">
        <f>'July 2022'!T39</f>
        <v>392.71199999999999</v>
      </c>
      <c r="P39" s="2">
        <f t="shared" si="12"/>
        <v>0.1</v>
      </c>
      <c r="Q39" s="2">
        <f>'July 2022'!Q39+'Aug 2022  '!P39</f>
        <v>124.47</v>
      </c>
      <c r="R39" s="2">
        <f t="shared" si="12"/>
        <v>0</v>
      </c>
      <c r="S39" s="2">
        <f>'July 2022'!S39+'Aug 2022  '!R39</f>
        <v>26.66</v>
      </c>
      <c r="T39" s="2">
        <f t="shared" si="12"/>
        <v>392.81199999999995</v>
      </c>
      <c r="U39" s="2">
        <f t="shared" si="12"/>
        <v>43657.800799999997</v>
      </c>
      <c r="V39" s="2"/>
      <c r="W39" s="2"/>
    </row>
    <row r="40" spans="1:23" ht="38.25" customHeight="1">
      <c r="A40" s="80">
        <v>25</v>
      </c>
      <c r="B40" s="82" t="s">
        <v>45</v>
      </c>
      <c r="C40" s="1">
        <f>'July 2022'!H40</f>
        <v>11706.163999999999</v>
      </c>
      <c r="D40" s="1">
        <v>19.47</v>
      </c>
      <c r="E40" s="1">
        <f>'July 2022'!E40+'Aug 2022  '!D40</f>
        <v>335.19000000000005</v>
      </c>
      <c r="F40" s="1">
        <v>0</v>
      </c>
      <c r="G40" s="1">
        <f>'July 2022'!G40+'Aug 2022  '!F40</f>
        <v>0</v>
      </c>
      <c r="H40" s="1">
        <f t="shared" si="0"/>
        <v>11725.633999999998</v>
      </c>
      <c r="I40" s="1">
        <f>'July 2022'!N40</f>
        <v>198.73</v>
      </c>
      <c r="J40" s="1">
        <v>0</v>
      </c>
      <c r="K40" s="1">
        <f>'July 2022'!K40+'Aug 2022  '!J40</f>
        <v>0</v>
      </c>
      <c r="L40" s="1">
        <v>0</v>
      </c>
      <c r="M40" s="1">
        <f>'July 2022'!M40+'Aug 2022  '!L40</f>
        <v>0</v>
      </c>
      <c r="N40" s="1">
        <f t="shared" si="1"/>
        <v>198.73</v>
      </c>
      <c r="O40" s="1">
        <f>'July 2022'!T40</f>
        <v>0</v>
      </c>
      <c r="P40" s="1">
        <v>53.46</v>
      </c>
      <c r="Q40" s="1">
        <f>'July 2022'!Q40+'Aug 2022  '!P40</f>
        <v>53.46</v>
      </c>
      <c r="R40" s="1">
        <v>0</v>
      </c>
      <c r="S40" s="1">
        <f>'July 2022'!S40+'Aug 2022  '!R40</f>
        <v>0</v>
      </c>
      <c r="T40" s="1">
        <f t="shared" si="2"/>
        <v>53.46</v>
      </c>
      <c r="U40" s="1">
        <f t="shared" si="3"/>
        <v>11977.823999999997</v>
      </c>
    </row>
    <row r="41" spans="1:23" ht="38.25" customHeight="1">
      <c r="A41" s="80">
        <v>26</v>
      </c>
      <c r="B41" s="82" t="s">
        <v>46</v>
      </c>
      <c r="C41" s="1">
        <f>'July 2022'!H41</f>
        <v>7870.626999999994</v>
      </c>
      <c r="D41" s="1">
        <v>83.141999999999996</v>
      </c>
      <c r="E41" s="1">
        <f>'July 2022'!E41+'Aug 2022  '!D41</f>
        <v>455.73200000000003</v>
      </c>
      <c r="F41" s="1">
        <v>0</v>
      </c>
      <c r="G41" s="1">
        <f>'July 2022'!G41+'Aug 2022  '!F41</f>
        <v>0</v>
      </c>
      <c r="H41" s="1">
        <f t="shared" si="0"/>
        <v>7953.7689999999939</v>
      </c>
      <c r="I41" s="1">
        <f>'July 2022'!N41</f>
        <v>8.67</v>
      </c>
      <c r="J41" s="1">
        <v>0</v>
      </c>
      <c r="K41" s="1">
        <f>'July 2022'!K41+'Aug 2022  '!J41</f>
        <v>0</v>
      </c>
      <c r="L41" s="1">
        <v>0</v>
      </c>
      <c r="M41" s="1">
        <f>'July 2022'!M41+'Aug 2022  '!L41</f>
        <v>0</v>
      </c>
      <c r="N41" s="1">
        <f t="shared" si="1"/>
        <v>8.67</v>
      </c>
      <c r="O41" s="1">
        <f>'July 2022'!T41</f>
        <v>0</v>
      </c>
      <c r="P41" s="1">
        <v>47.1</v>
      </c>
      <c r="Q41" s="1">
        <f>'July 2022'!Q41+'Aug 2022  '!P41</f>
        <v>47.1</v>
      </c>
      <c r="R41" s="1">
        <v>0</v>
      </c>
      <c r="S41" s="1">
        <f>'July 2022'!S41+'Aug 2022  '!R41</f>
        <v>0</v>
      </c>
      <c r="T41" s="1">
        <f t="shared" si="2"/>
        <v>47.1</v>
      </c>
      <c r="U41" s="1">
        <f t="shared" si="3"/>
        <v>8009.5389999999943</v>
      </c>
    </row>
    <row r="42" spans="1:23" s="7" customFormat="1" ht="38.25" customHeight="1">
      <c r="A42" s="80">
        <v>27</v>
      </c>
      <c r="B42" s="82" t="s">
        <v>47</v>
      </c>
      <c r="C42" s="1">
        <f>'July 2022'!H42</f>
        <v>13852.388999999996</v>
      </c>
      <c r="D42" s="1">
        <v>8.09</v>
      </c>
      <c r="E42" s="1">
        <f>'July 2022'!E42+'Aug 2022  '!D42</f>
        <v>55.040000000000006</v>
      </c>
      <c r="F42" s="1">
        <v>0</v>
      </c>
      <c r="G42" s="1">
        <f>'July 2022'!G42+'Aug 2022  '!F42</f>
        <v>0</v>
      </c>
      <c r="H42" s="1">
        <f t="shared" si="0"/>
        <v>13860.478999999996</v>
      </c>
      <c r="I42" s="1">
        <f>'July 2022'!N42</f>
        <v>15.62</v>
      </c>
      <c r="J42" s="1">
        <v>0</v>
      </c>
      <c r="K42" s="1">
        <f>'July 2022'!K42+'Aug 2022  '!J42</f>
        <v>0</v>
      </c>
      <c r="L42" s="1">
        <v>0</v>
      </c>
      <c r="M42" s="1">
        <f>'July 2022'!M42+'Aug 2022  '!L42</f>
        <v>0</v>
      </c>
      <c r="N42" s="1">
        <f t="shared" si="1"/>
        <v>15.62</v>
      </c>
      <c r="O42" s="1">
        <f>'July 2022'!T42</f>
        <v>39.019999999999996</v>
      </c>
      <c r="P42" s="1">
        <v>34.22</v>
      </c>
      <c r="Q42" s="1">
        <f>'July 2022'!Q42+'Aug 2022  '!P42</f>
        <v>34.22</v>
      </c>
      <c r="R42" s="1">
        <v>0</v>
      </c>
      <c r="S42" s="1">
        <f>'July 2022'!S42+'Aug 2022  '!R42</f>
        <v>0</v>
      </c>
      <c r="T42" s="1">
        <f t="shared" si="2"/>
        <v>73.239999999999995</v>
      </c>
      <c r="U42" s="1">
        <f t="shared" si="3"/>
        <v>13949.338999999996</v>
      </c>
    </row>
    <row r="43" spans="1:23" ht="38.25" customHeight="1">
      <c r="A43" s="80">
        <v>28</v>
      </c>
      <c r="B43" s="82" t="s">
        <v>48</v>
      </c>
      <c r="C43" s="1">
        <f>'July 2022'!H43</f>
        <v>3993.2600000000011</v>
      </c>
      <c r="D43" s="1">
        <f>8+19.6</f>
        <v>27.6</v>
      </c>
      <c r="E43" s="1">
        <f>'July 2022'!E43+'Aug 2022  '!D43</f>
        <v>53.38</v>
      </c>
      <c r="F43" s="1">
        <v>0</v>
      </c>
      <c r="G43" s="1">
        <f>'July 2022'!G43+'Aug 2022  '!F43</f>
        <v>0</v>
      </c>
      <c r="H43" s="1">
        <f t="shared" si="0"/>
        <v>4020.860000000001</v>
      </c>
      <c r="I43" s="1">
        <f>'July 2022'!N43</f>
        <v>3.5</v>
      </c>
      <c r="J43" s="1">
        <v>0</v>
      </c>
      <c r="K43" s="1">
        <f>'July 2022'!K43+'Aug 2022  '!J43</f>
        <v>0</v>
      </c>
      <c r="L43" s="1">
        <v>0</v>
      </c>
      <c r="M43" s="1">
        <f>'July 2022'!M43+'Aug 2022  '!L43</f>
        <v>0</v>
      </c>
      <c r="N43" s="1">
        <f t="shared" si="1"/>
        <v>3.5</v>
      </c>
      <c r="O43" s="1">
        <f>'July 2022'!T43</f>
        <v>0</v>
      </c>
      <c r="P43" s="1">
        <v>29.8</v>
      </c>
      <c r="Q43" s="1">
        <f>'July 2022'!Q43+'Aug 2022  '!P43</f>
        <v>29.8</v>
      </c>
      <c r="R43" s="1">
        <v>0</v>
      </c>
      <c r="S43" s="1">
        <f>'July 2022'!S43+'Aug 2022  '!R43</f>
        <v>0</v>
      </c>
      <c r="T43" s="1">
        <f t="shared" si="2"/>
        <v>29.8</v>
      </c>
      <c r="U43" s="1">
        <f t="shared" si="3"/>
        <v>4054.1600000000012</v>
      </c>
    </row>
    <row r="44" spans="1:23" s="7" customFormat="1" ht="38.25" customHeight="1">
      <c r="A44" s="79"/>
      <c r="B44" s="81" t="s">
        <v>49</v>
      </c>
      <c r="C44" s="2">
        <f>'July 2022'!H44</f>
        <v>37422.439999999995</v>
      </c>
      <c r="D44" s="2">
        <f t="shared" ref="D44:U44" si="13">SUM(D40:D43)</f>
        <v>138.30199999999999</v>
      </c>
      <c r="E44" s="2">
        <f>'July 2022'!E44+'Aug 2022  '!D44</f>
        <v>899.3420000000001</v>
      </c>
      <c r="F44" s="2">
        <f t="shared" si="13"/>
        <v>0</v>
      </c>
      <c r="G44" s="2">
        <f>'July 2022'!G44+'Aug 2022  '!F44</f>
        <v>0</v>
      </c>
      <c r="H44" s="2">
        <f t="shared" si="13"/>
        <v>37560.741999999984</v>
      </c>
      <c r="I44" s="2">
        <f>'July 2022'!N44</f>
        <v>226.51999999999998</v>
      </c>
      <c r="J44" s="2">
        <f t="shared" si="13"/>
        <v>0</v>
      </c>
      <c r="K44" s="2">
        <f>'July 2022'!K44+'Aug 2022  '!J44</f>
        <v>0</v>
      </c>
      <c r="L44" s="2">
        <f t="shared" si="13"/>
        <v>0</v>
      </c>
      <c r="M44" s="2">
        <f>'July 2022'!M44+'Aug 2022  '!L44</f>
        <v>0</v>
      </c>
      <c r="N44" s="2">
        <f t="shared" si="13"/>
        <v>226.51999999999998</v>
      </c>
      <c r="O44" s="2">
        <f>'July 2022'!T44</f>
        <v>39.019999999999996</v>
      </c>
      <c r="P44" s="2">
        <f t="shared" si="13"/>
        <v>164.58</v>
      </c>
      <c r="Q44" s="2">
        <f>'July 2022'!Q44+'Aug 2022  '!P44</f>
        <v>164.58</v>
      </c>
      <c r="R44" s="2">
        <f t="shared" si="13"/>
        <v>0</v>
      </c>
      <c r="S44" s="2">
        <f>'July 2022'!S44+'Aug 2022  '!R44</f>
        <v>0</v>
      </c>
      <c r="T44" s="2">
        <f t="shared" si="13"/>
        <v>203.60000000000002</v>
      </c>
      <c r="U44" s="2">
        <f t="shared" si="13"/>
        <v>37990.861999999994</v>
      </c>
    </row>
    <row r="45" spans="1:23" ht="38.25" customHeight="1">
      <c r="A45" s="80">
        <v>29</v>
      </c>
      <c r="B45" s="82" t="s">
        <v>50</v>
      </c>
      <c r="C45" s="1">
        <f>'July 2022'!H45</f>
        <v>8114.602100000001</v>
      </c>
      <c r="D45" s="1">
        <v>11.19</v>
      </c>
      <c r="E45" s="1">
        <f>'July 2022'!E45+'Aug 2022  '!D45</f>
        <v>73.81</v>
      </c>
      <c r="F45" s="1">
        <v>0</v>
      </c>
      <c r="G45" s="1">
        <f>'July 2022'!G45+'Aug 2022  '!F45</f>
        <v>0</v>
      </c>
      <c r="H45" s="1">
        <f t="shared" si="0"/>
        <v>8125.7921000000006</v>
      </c>
      <c r="I45" s="1">
        <f>'July 2022'!N45</f>
        <v>42.2</v>
      </c>
      <c r="J45" s="1">
        <v>64.819999999999993</v>
      </c>
      <c r="K45" s="1">
        <f>'July 2022'!K45+'Aug 2022  '!J45</f>
        <v>65.099999999999994</v>
      </c>
      <c r="L45" s="1">
        <v>0</v>
      </c>
      <c r="M45" s="1">
        <f>'July 2022'!M45+'Aug 2022  '!L45</f>
        <v>0</v>
      </c>
      <c r="N45" s="1">
        <f t="shared" si="1"/>
        <v>107.02</v>
      </c>
      <c r="O45" s="1">
        <f>'July 2022'!T45</f>
        <v>14.78</v>
      </c>
      <c r="P45" s="1">
        <v>14.03</v>
      </c>
      <c r="Q45" s="1">
        <f>'July 2022'!Q45+'Aug 2022  '!P45</f>
        <v>14.059999999999999</v>
      </c>
      <c r="R45" s="1">
        <v>0</v>
      </c>
      <c r="S45" s="1">
        <f>'July 2022'!S45+'Aug 2022  '!R45</f>
        <v>0</v>
      </c>
      <c r="T45" s="1">
        <f t="shared" si="2"/>
        <v>28.81</v>
      </c>
      <c r="U45" s="1">
        <f t="shared" si="3"/>
        <v>8261.6221000000005</v>
      </c>
    </row>
    <row r="46" spans="1:23" ht="38.25" customHeight="1">
      <c r="A46" s="80">
        <v>30</v>
      </c>
      <c r="B46" s="82" t="s">
        <v>51</v>
      </c>
      <c r="C46" s="1">
        <f>'July 2022'!H46</f>
        <v>7778.2450000000017</v>
      </c>
      <c r="D46" s="1">
        <v>6.96</v>
      </c>
      <c r="E46" s="1">
        <f>'July 2022'!E46+'Aug 2022  '!D46</f>
        <v>46.71</v>
      </c>
      <c r="F46" s="1">
        <v>0</v>
      </c>
      <c r="G46" s="1">
        <f>'July 2022'!G46+'Aug 2022  '!F46</f>
        <v>0</v>
      </c>
      <c r="H46" s="1">
        <f t="shared" si="0"/>
        <v>7785.2050000000017</v>
      </c>
      <c r="I46" s="1">
        <f>'July 2022'!N46</f>
        <v>0</v>
      </c>
      <c r="J46" s="1">
        <v>0</v>
      </c>
      <c r="K46" s="1">
        <f>'July 2022'!K46+'Aug 2022  '!J46</f>
        <v>0</v>
      </c>
      <c r="L46" s="1">
        <v>0</v>
      </c>
      <c r="M46" s="1">
        <f>'July 2022'!M46+'Aug 2022  '!L46</f>
        <v>0</v>
      </c>
      <c r="N46" s="1">
        <f t="shared" si="1"/>
        <v>0</v>
      </c>
      <c r="O46" s="1">
        <f>'July 2022'!T46</f>
        <v>0</v>
      </c>
      <c r="P46" s="1">
        <v>11.75</v>
      </c>
      <c r="Q46" s="1">
        <f>'July 2022'!Q46+'Aug 2022  '!P46</f>
        <v>11.75</v>
      </c>
      <c r="R46" s="1">
        <v>0</v>
      </c>
      <c r="S46" s="1">
        <f>'July 2022'!S46+'Aug 2022  '!R46</f>
        <v>0</v>
      </c>
      <c r="T46" s="1">
        <f t="shared" si="2"/>
        <v>11.75</v>
      </c>
      <c r="U46" s="1">
        <f t="shared" si="3"/>
        <v>7796.9550000000017</v>
      </c>
    </row>
    <row r="47" spans="1:23" s="7" customFormat="1" ht="38.25" customHeight="1">
      <c r="A47" s="80">
        <v>31</v>
      </c>
      <c r="B47" s="82" t="s">
        <v>52</v>
      </c>
      <c r="C47" s="1">
        <f>'July 2022'!H47</f>
        <v>8914.7900000000009</v>
      </c>
      <c r="D47" s="1">
        <v>3.55</v>
      </c>
      <c r="E47" s="1">
        <f>'July 2022'!E47+'Aug 2022  '!D47</f>
        <v>133.70000000000002</v>
      </c>
      <c r="F47" s="1">
        <v>0</v>
      </c>
      <c r="G47" s="1">
        <f>'July 2022'!G47+'Aug 2022  '!F47</f>
        <v>0</v>
      </c>
      <c r="H47" s="1">
        <f t="shared" si="0"/>
        <v>8918.34</v>
      </c>
      <c r="I47" s="1">
        <f>'July 2022'!N47</f>
        <v>3.13</v>
      </c>
      <c r="J47" s="1">
        <v>0</v>
      </c>
      <c r="K47" s="1">
        <f>'July 2022'!K47+'Aug 2022  '!J47</f>
        <v>0</v>
      </c>
      <c r="L47" s="1">
        <v>0</v>
      </c>
      <c r="M47" s="1">
        <f>'July 2022'!M47+'Aug 2022  '!L47</f>
        <v>0</v>
      </c>
      <c r="N47" s="1">
        <f t="shared" si="1"/>
        <v>3.13</v>
      </c>
      <c r="O47" s="1">
        <f>'July 2022'!T47</f>
        <v>0.03</v>
      </c>
      <c r="P47" s="1">
        <v>9.91</v>
      </c>
      <c r="Q47" s="1">
        <f>'July 2022'!Q47+'Aug 2022  '!P47</f>
        <v>9.91</v>
      </c>
      <c r="R47" s="1">
        <v>0</v>
      </c>
      <c r="S47" s="1">
        <f>'July 2022'!S47+'Aug 2022  '!R47</f>
        <v>0</v>
      </c>
      <c r="T47" s="1">
        <f t="shared" si="2"/>
        <v>9.94</v>
      </c>
      <c r="U47" s="1">
        <f t="shared" si="3"/>
        <v>8931.41</v>
      </c>
    </row>
    <row r="48" spans="1:23" s="7" customFormat="1" ht="38.25" customHeight="1">
      <c r="A48" s="80">
        <v>32</v>
      </c>
      <c r="B48" s="82" t="s">
        <v>53</v>
      </c>
      <c r="C48" s="1">
        <f>'July 2022'!H48</f>
        <v>8571.3490000000002</v>
      </c>
      <c r="D48" s="1">
        <v>1.5</v>
      </c>
      <c r="E48" s="1">
        <f>'July 2022'!E48+'Aug 2022  '!D48</f>
        <v>376.06</v>
      </c>
      <c r="F48" s="1">
        <v>0</v>
      </c>
      <c r="G48" s="1">
        <f>'July 2022'!G48+'Aug 2022  '!F48</f>
        <v>0</v>
      </c>
      <c r="H48" s="1">
        <f t="shared" si="0"/>
        <v>8572.8490000000002</v>
      </c>
      <c r="I48" s="1">
        <f>'July 2022'!N48</f>
        <v>5.0249999999999995</v>
      </c>
      <c r="J48" s="1">
        <v>0</v>
      </c>
      <c r="K48" s="1">
        <f>'July 2022'!K48+'Aug 2022  '!J48</f>
        <v>0</v>
      </c>
      <c r="L48" s="1">
        <v>0</v>
      </c>
      <c r="M48" s="1">
        <f>'July 2022'!M48+'Aug 2022  '!L48</f>
        <v>0</v>
      </c>
      <c r="N48" s="1">
        <f t="shared" si="1"/>
        <v>5.0249999999999995</v>
      </c>
      <c r="O48" s="1">
        <f>'July 2022'!T48</f>
        <v>4.21</v>
      </c>
      <c r="P48" s="1">
        <v>0</v>
      </c>
      <c r="Q48" s="1">
        <f>'July 2022'!Q48+'Aug 2022  '!P48</f>
        <v>4.21</v>
      </c>
      <c r="R48" s="1">
        <v>0</v>
      </c>
      <c r="S48" s="1">
        <f>'July 2022'!S48+'Aug 2022  '!R48</f>
        <v>0</v>
      </c>
      <c r="T48" s="1">
        <f t="shared" si="2"/>
        <v>4.21</v>
      </c>
      <c r="U48" s="1">
        <f t="shared" si="3"/>
        <v>8582.0839999999989</v>
      </c>
    </row>
    <row r="49" spans="1:21" s="7" customFormat="1" ht="38.25" customHeight="1">
      <c r="A49" s="79"/>
      <c r="B49" s="81" t="s">
        <v>54</v>
      </c>
      <c r="C49" s="2">
        <f>'July 2022'!H49</f>
        <v>33378.986100000002</v>
      </c>
      <c r="D49" s="2">
        <f t="shared" ref="D49:U49" si="14">SUM(D45:D48)</f>
        <v>23.2</v>
      </c>
      <c r="E49" s="2">
        <f>'July 2022'!E49+'Aug 2022  '!D49</f>
        <v>630.28000000000009</v>
      </c>
      <c r="F49" s="2">
        <f t="shared" si="14"/>
        <v>0</v>
      </c>
      <c r="G49" s="2">
        <f>'July 2022'!G49+'Aug 2022  '!F49</f>
        <v>0</v>
      </c>
      <c r="H49" s="2">
        <f t="shared" si="14"/>
        <v>33402.186100000006</v>
      </c>
      <c r="I49" s="2">
        <f>'July 2022'!N49</f>
        <v>50.355000000000004</v>
      </c>
      <c r="J49" s="2">
        <f t="shared" si="14"/>
        <v>64.819999999999993</v>
      </c>
      <c r="K49" s="2">
        <f>'July 2022'!K49+'Aug 2022  '!J49</f>
        <v>65.099999999999994</v>
      </c>
      <c r="L49" s="2">
        <f t="shared" si="14"/>
        <v>0</v>
      </c>
      <c r="M49" s="2">
        <f>'July 2022'!M49+'Aug 2022  '!L49</f>
        <v>0</v>
      </c>
      <c r="N49" s="2">
        <f t="shared" si="14"/>
        <v>115.175</v>
      </c>
      <c r="O49" s="2">
        <f>'July 2022'!T49</f>
        <v>19.02</v>
      </c>
      <c r="P49" s="2">
        <f t="shared" si="14"/>
        <v>35.69</v>
      </c>
      <c r="Q49" s="2">
        <f>'July 2022'!Q49+'Aug 2022  '!P49</f>
        <v>39.93</v>
      </c>
      <c r="R49" s="2">
        <f t="shared" si="14"/>
        <v>0</v>
      </c>
      <c r="S49" s="2">
        <f>'July 2022'!S49+'Aug 2022  '!R49</f>
        <v>0</v>
      </c>
      <c r="T49" s="2">
        <f t="shared" si="14"/>
        <v>54.71</v>
      </c>
      <c r="U49" s="2">
        <f t="shared" si="14"/>
        <v>33572.071100000001</v>
      </c>
    </row>
    <row r="50" spans="1:21" s="7" customFormat="1" ht="38.25" customHeight="1">
      <c r="A50" s="79"/>
      <c r="B50" s="81" t="s">
        <v>55</v>
      </c>
      <c r="C50" s="2">
        <f>'July 2022'!H50</f>
        <v>70801.426099999997</v>
      </c>
      <c r="D50" s="2">
        <f t="shared" ref="D50:U50" si="15">D49+D44</f>
        <v>161.50199999999998</v>
      </c>
      <c r="E50" s="2">
        <f>'July 2022'!E50+'Aug 2022  '!D50</f>
        <v>1529.6220000000001</v>
      </c>
      <c r="F50" s="2">
        <f t="shared" si="15"/>
        <v>0</v>
      </c>
      <c r="G50" s="2">
        <f>'July 2022'!G50+'Aug 2022  '!F50</f>
        <v>0</v>
      </c>
      <c r="H50" s="2">
        <f t="shared" si="15"/>
        <v>70962.92809999999</v>
      </c>
      <c r="I50" s="2">
        <f>'July 2022'!N50</f>
        <v>276.875</v>
      </c>
      <c r="J50" s="2">
        <f t="shared" si="15"/>
        <v>64.819999999999993</v>
      </c>
      <c r="K50" s="2">
        <f>'July 2022'!K50+'Aug 2022  '!J50</f>
        <v>65.099999999999994</v>
      </c>
      <c r="L50" s="2">
        <f t="shared" si="15"/>
        <v>0</v>
      </c>
      <c r="M50" s="2">
        <f>'July 2022'!M50+'Aug 2022  '!L50</f>
        <v>0</v>
      </c>
      <c r="N50" s="2">
        <f t="shared" si="15"/>
        <v>341.69499999999999</v>
      </c>
      <c r="O50" s="2">
        <f>'July 2022'!T50</f>
        <v>58.039999999999992</v>
      </c>
      <c r="P50" s="2">
        <f t="shared" si="15"/>
        <v>200.27</v>
      </c>
      <c r="Q50" s="2">
        <f>'July 2022'!Q50+'Aug 2022  '!P50</f>
        <v>204.51000000000002</v>
      </c>
      <c r="R50" s="2">
        <f t="shared" si="15"/>
        <v>0</v>
      </c>
      <c r="S50" s="2">
        <f>'July 2022'!S50+'Aug 2022  '!R50</f>
        <v>0</v>
      </c>
      <c r="T50" s="2">
        <f t="shared" si="15"/>
        <v>258.31</v>
      </c>
      <c r="U50" s="2">
        <f t="shared" si="15"/>
        <v>71562.933099999995</v>
      </c>
    </row>
    <row r="51" spans="1:21" s="7" customFormat="1" ht="38.25" customHeight="1">
      <c r="A51" s="79"/>
      <c r="B51" s="81" t="s">
        <v>56</v>
      </c>
      <c r="C51" s="2">
        <f>'July 2022'!H51</f>
        <v>117282.28989999999</v>
      </c>
      <c r="D51" s="2">
        <f t="shared" ref="D51:U51" si="16">D50+D39+D25</f>
        <v>280.75199999999995</v>
      </c>
      <c r="E51" s="2">
        <f>'July 2022'!E51+'Aug 2022  '!D51</f>
        <v>2249.4719999999998</v>
      </c>
      <c r="F51" s="2">
        <f t="shared" si="16"/>
        <v>8.59</v>
      </c>
      <c r="G51" s="2">
        <f>'July 2022'!G51+'Aug 2022  '!F51</f>
        <v>107.51</v>
      </c>
      <c r="H51" s="2">
        <f t="shared" si="16"/>
        <v>117554.45189999999</v>
      </c>
      <c r="I51" s="2">
        <f>'July 2022'!N51</f>
        <v>9296.3230000000003</v>
      </c>
      <c r="J51" s="2">
        <f t="shared" si="16"/>
        <v>97.352000000000004</v>
      </c>
      <c r="K51" s="2">
        <f>'July 2022'!K51+'Aug 2022  '!J51</f>
        <v>970.49099999999999</v>
      </c>
      <c r="L51" s="2">
        <f t="shared" si="16"/>
        <v>0</v>
      </c>
      <c r="M51" s="2">
        <f>'July 2022'!M51+'Aug 2022  '!L51</f>
        <v>7.51</v>
      </c>
      <c r="N51" s="2">
        <f t="shared" si="16"/>
        <v>9393.6749999999993</v>
      </c>
      <c r="O51" s="2">
        <f>'July 2022'!T51</f>
        <v>1034.68</v>
      </c>
      <c r="P51" s="2">
        <f t="shared" si="16"/>
        <v>201.1</v>
      </c>
      <c r="Q51" s="2">
        <f>'July 2022'!Q51+'Aug 2022  '!P51</f>
        <v>330.44</v>
      </c>
      <c r="R51" s="2">
        <f t="shared" si="16"/>
        <v>0</v>
      </c>
      <c r="S51" s="2">
        <f>'July 2022'!S51+'Aug 2022  '!R51</f>
        <v>36.14</v>
      </c>
      <c r="T51" s="2">
        <f t="shared" si="16"/>
        <v>1235.78</v>
      </c>
      <c r="U51" s="2">
        <f t="shared" si="16"/>
        <v>128183.90689999999</v>
      </c>
    </row>
    <row r="52" spans="1:21" s="7" customFormat="1" ht="28.5" customHeight="1">
      <c r="A52" s="18"/>
      <c r="B52" s="2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84"/>
      <c r="J53" s="84">
        <f>D51+J51+P51-F51-L51-R51</f>
        <v>570.61399999999992</v>
      </c>
      <c r="K53" s="84"/>
      <c r="L53" s="84"/>
      <c r="M53" s="84"/>
      <c r="N53" s="84"/>
      <c r="R53" s="84"/>
      <c r="U53" s="84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84"/>
      <c r="J54" s="84">
        <f>E51+K51+Q51-G51-M51-S51</f>
        <v>3399.2429999999995</v>
      </c>
      <c r="K54" s="84"/>
      <c r="L54" s="84"/>
      <c r="M54" s="84"/>
      <c r="N54" s="84"/>
      <c r="R54" s="84"/>
      <c r="T54" s="84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128183.90689999999</v>
      </c>
      <c r="K55" s="4"/>
      <c r="L55" s="4"/>
      <c r="M55" s="78"/>
      <c r="N55" s="4"/>
      <c r="P55" s="18"/>
      <c r="Q55" s="20"/>
      <c r="U55" s="20"/>
    </row>
    <row r="56" spans="1:21" ht="33" customHeight="1">
      <c r="C56" s="21"/>
      <c r="D56" s="84"/>
      <c r="E56" s="84"/>
      <c r="F56" s="84"/>
      <c r="G56" s="84"/>
      <c r="H56" s="4"/>
      <c r="I56" s="19"/>
      <c r="J56" s="84"/>
      <c r="K56" s="4"/>
      <c r="L56" s="61"/>
      <c r="M56" s="4"/>
      <c r="N56" s="11">
        <f>'[1]sep 2020 '!J56+'Aug 2022  '!J53</f>
        <v>117321.52489999999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2021'!J55+'Aug 2022  '!J53</f>
        <v>120787.1329</v>
      </c>
      <c r="N57" s="7"/>
      <c r="O57" s="3"/>
      <c r="P57" s="83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85"/>
      <c r="L58" s="10"/>
      <c r="M58" s="7"/>
      <c r="N58" s="29">
        <f>'[2]July 2021'!J55+'Aug 2022  '!J53</f>
        <v>121575.88389999999</v>
      </c>
      <c r="O58" s="29">
        <f>'[2]April 2021'!J55+'Aug 2022  '!J53</f>
        <v>120787.1329</v>
      </c>
      <c r="P58" s="83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2021'!J55+'Aug 2022  '!J53</f>
        <v>120266.3219</v>
      </c>
      <c r="J59" s="143" t="s">
        <v>63</v>
      </c>
      <c r="K59" s="143"/>
      <c r="L59" s="143"/>
      <c r="M59" s="11" t="e">
        <f>#REF!+'Aug 2022  '!J53</f>
        <v>#REF!</v>
      </c>
      <c r="N59" s="4"/>
    </row>
    <row r="60" spans="1:21" ht="37.5" customHeight="1">
      <c r="G60" s="4"/>
      <c r="H60" s="11">
        <f>H51+N51+T51</f>
        <v>128183.90689999999</v>
      </c>
      <c r="J60" s="143" t="s">
        <v>64</v>
      </c>
      <c r="K60" s="143"/>
      <c r="L60" s="143"/>
      <c r="M60" s="11" t="e">
        <f>#REF!+'Aug 2022  '!J53</f>
        <v>#REF!</v>
      </c>
    </row>
    <row r="61" spans="1:21">
      <c r="H61" s="23"/>
    </row>
    <row r="62" spans="1:21">
      <c r="G62" s="4"/>
      <c r="H62" s="11">
        <f>'[1]nov 2020'!J56+'Aug 2022  '!J53</f>
        <v>119185.46489999999</v>
      </c>
      <c r="I62" s="24"/>
      <c r="J62" s="23"/>
    </row>
    <row r="63" spans="1:21">
      <c r="H63" s="11">
        <f>'[1]nov 2020'!J56+'Aug 2022  '!J53</f>
        <v>119185.46489999999</v>
      </c>
      <c r="I63" s="30">
        <f>'[2]June 2021)'!J55+'Aug 2022  '!J53</f>
        <v>121247.11290000001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F31" zoomScale="39" zoomScaleNormal="39" workbookViewId="0">
      <selection activeCell="I38" sqref="I38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95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89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88" t="s">
        <v>11</v>
      </c>
      <c r="E6" s="88" t="s">
        <v>12</v>
      </c>
      <c r="F6" s="88" t="s">
        <v>11</v>
      </c>
      <c r="G6" s="88" t="s">
        <v>12</v>
      </c>
      <c r="H6" s="135"/>
      <c r="I6" s="138"/>
      <c r="J6" s="88" t="s">
        <v>11</v>
      </c>
      <c r="K6" s="88" t="s">
        <v>12</v>
      </c>
      <c r="L6" s="88" t="s">
        <v>11</v>
      </c>
      <c r="M6" s="88" t="s">
        <v>12</v>
      </c>
      <c r="N6" s="135"/>
      <c r="O6" s="138"/>
      <c r="P6" s="88" t="s">
        <v>11</v>
      </c>
      <c r="Q6" s="88" t="s">
        <v>12</v>
      </c>
      <c r="R6" s="88" t="s">
        <v>11</v>
      </c>
      <c r="S6" s="88" t="s">
        <v>12</v>
      </c>
      <c r="T6" s="135"/>
      <c r="U6" s="135"/>
    </row>
    <row r="7" spans="1:21" ht="38.25" customHeight="1">
      <c r="A7" s="89">
        <v>1</v>
      </c>
      <c r="B7" s="91" t="s">
        <v>13</v>
      </c>
      <c r="C7" s="1">
        <f>'Aug 2022  '!H7</f>
        <v>48.239999999999981</v>
      </c>
      <c r="D7" s="1">
        <v>0</v>
      </c>
      <c r="E7" s="1">
        <f>'Aug 2022  '!E7+'Sep 2022'!D7</f>
        <v>0</v>
      </c>
      <c r="F7" s="1">
        <v>21.56</v>
      </c>
      <c r="G7" s="1">
        <f>'Aug 2022  '!G7+'Sep 2022'!F7</f>
        <v>63.36</v>
      </c>
      <c r="H7" s="96">
        <f>C7+D7-F7</f>
        <v>26.679999999999982</v>
      </c>
      <c r="I7" s="1">
        <f>'Aug 2022  '!N7</f>
        <v>668.95799999999986</v>
      </c>
      <c r="J7" s="1">
        <v>14.43</v>
      </c>
      <c r="K7" s="1">
        <f>'Aug 2022  '!K7+'Sep 2022'!J7</f>
        <v>99.170999999999992</v>
      </c>
      <c r="L7" s="1">
        <v>0</v>
      </c>
      <c r="M7" s="1">
        <f>'Aug 2022  '!M7+'Sep 2022'!L7</f>
        <v>0</v>
      </c>
      <c r="N7" s="96">
        <f>I7+J7-L7</f>
        <v>683.38799999999981</v>
      </c>
      <c r="O7" s="1">
        <f>'Aug 2022  '!T7</f>
        <v>8.436000000000007</v>
      </c>
      <c r="P7" s="1">
        <v>0</v>
      </c>
      <c r="Q7" s="1">
        <f>'Aug 2022  '!Q7+'Sep 2022'!P7</f>
        <v>0</v>
      </c>
      <c r="R7" s="1">
        <v>0</v>
      </c>
      <c r="S7" s="1">
        <f>'Aug 2022  '!S7+'Sep 2022'!R7</f>
        <v>1.01</v>
      </c>
      <c r="T7" s="96">
        <f>O7+P7-R7</f>
        <v>8.436000000000007</v>
      </c>
      <c r="U7" s="96">
        <f>H7+N7+T7</f>
        <v>718.50399999999979</v>
      </c>
    </row>
    <row r="8" spans="1:21" ht="38.25" customHeight="1">
      <c r="A8" s="89">
        <v>2</v>
      </c>
      <c r="B8" s="91" t="s">
        <v>14</v>
      </c>
      <c r="C8" s="1">
        <f>'Aug 2022  '!H8</f>
        <v>265.39</v>
      </c>
      <c r="D8" s="1">
        <v>0</v>
      </c>
      <c r="E8" s="1">
        <f>'Aug 2022  '!E8+'Sep 2022'!D8</f>
        <v>0</v>
      </c>
      <c r="F8" s="1">
        <v>0</v>
      </c>
      <c r="G8" s="1">
        <f>'Aug 2022  '!G8+'Sep 2022'!F8</f>
        <v>0</v>
      </c>
      <c r="H8" s="96">
        <f t="shared" ref="H8:H51" si="0">C8+D8-F8</f>
        <v>265.39</v>
      </c>
      <c r="I8" s="1">
        <f>'Aug 2022  '!N8</f>
        <v>333.15500000000003</v>
      </c>
      <c r="J8" s="1">
        <v>7.73</v>
      </c>
      <c r="K8" s="1">
        <f>'Aug 2022  '!K8+'Sep 2022'!J8</f>
        <v>28.905000000000001</v>
      </c>
      <c r="L8" s="1">
        <v>0</v>
      </c>
      <c r="M8" s="1">
        <f>'Aug 2022  '!M8+'Sep 2022'!L8</f>
        <v>0</v>
      </c>
      <c r="N8" s="96">
        <f t="shared" ref="N8:N51" si="1">I8+J8-L8</f>
        <v>340.88500000000005</v>
      </c>
      <c r="O8" s="1">
        <f>'Aug 2022  '!T8</f>
        <v>66.290000000000006</v>
      </c>
      <c r="P8" s="1">
        <v>0</v>
      </c>
      <c r="Q8" s="1">
        <f>'Aug 2022  '!Q8+'Sep 2022'!P8</f>
        <v>0</v>
      </c>
      <c r="R8" s="1">
        <v>0</v>
      </c>
      <c r="S8" s="1">
        <f>'Aug 2022  '!S8+'Sep 2022'!R8</f>
        <v>0</v>
      </c>
      <c r="T8" s="96">
        <f t="shared" ref="T8:T51" si="2">O8+P8-R8</f>
        <v>66.290000000000006</v>
      </c>
      <c r="U8" s="96">
        <f t="shared" ref="U8:U51" si="3">H8+N8+T8</f>
        <v>672.56500000000005</v>
      </c>
    </row>
    <row r="9" spans="1:21" ht="38.25" customHeight="1">
      <c r="A9" s="89">
        <v>3</v>
      </c>
      <c r="B9" s="91" t="s">
        <v>15</v>
      </c>
      <c r="C9" s="1">
        <f>'Aug 2022  '!H9</f>
        <v>209.16</v>
      </c>
      <c r="D9" s="1">
        <v>0</v>
      </c>
      <c r="E9" s="1">
        <f>'Aug 2022  '!E9+'Sep 2022'!D9</f>
        <v>0</v>
      </c>
      <c r="F9" s="1">
        <v>0</v>
      </c>
      <c r="G9" s="1">
        <f>'Aug 2022  '!G9+'Sep 2022'!F9</f>
        <v>0</v>
      </c>
      <c r="H9" s="96">
        <f t="shared" si="0"/>
        <v>209.16</v>
      </c>
      <c r="I9" s="1">
        <f>'Aug 2022  '!N9+55.52</f>
        <v>855.71800000000007</v>
      </c>
      <c r="J9" s="1">
        <v>3.59</v>
      </c>
      <c r="K9" s="1">
        <f>'Aug 2022  '!K9+'Sep 2022'!J9</f>
        <v>102.75999999999999</v>
      </c>
      <c r="L9" s="1">
        <v>0</v>
      </c>
      <c r="M9" s="1">
        <f>'Aug 2022  '!M9+'Sep 2022'!L9</f>
        <v>0</v>
      </c>
      <c r="N9" s="96">
        <f t="shared" si="1"/>
        <v>859.30800000000011</v>
      </c>
      <c r="O9" s="1">
        <f>'Aug 2022  '!T9</f>
        <v>44.739999999999995</v>
      </c>
      <c r="P9" s="1">
        <v>0</v>
      </c>
      <c r="Q9" s="1">
        <f>'Aug 2022  '!Q9+'Sep 2022'!P9</f>
        <v>0</v>
      </c>
      <c r="R9" s="1">
        <v>0</v>
      </c>
      <c r="S9" s="1">
        <f>'Aug 2022  '!S9+'Sep 2022'!R9</f>
        <v>0</v>
      </c>
      <c r="T9" s="96">
        <f t="shared" si="2"/>
        <v>44.739999999999995</v>
      </c>
      <c r="U9" s="96">
        <f t="shared" si="3"/>
        <v>1113.2080000000001</v>
      </c>
    </row>
    <row r="10" spans="1:21" s="7" customFormat="1" ht="38.25" customHeight="1">
      <c r="A10" s="89">
        <v>4</v>
      </c>
      <c r="B10" s="91" t="s">
        <v>16</v>
      </c>
      <c r="C10" s="1">
        <f>'Aug 2022  '!H10</f>
        <v>0</v>
      </c>
      <c r="D10" s="1">
        <v>0</v>
      </c>
      <c r="E10" s="1">
        <f>'Aug 2022  '!E10+'Sep 2022'!D10</f>
        <v>0</v>
      </c>
      <c r="F10" s="1">
        <v>0</v>
      </c>
      <c r="G10" s="1">
        <f>'Aug 2022  '!G10+'Sep 2022'!F10</f>
        <v>0</v>
      </c>
      <c r="H10" s="96">
        <f t="shared" si="0"/>
        <v>0</v>
      </c>
      <c r="I10" s="1">
        <f>'Aug 2022  '!N10</f>
        <v>348.99999999999994</v>
      </c>
      <c r="J10" s="1">
        <v>0.56999999999999995</v>
      </c>
      <c r="K10" s="1">
        <f>'Aug 2022  '!K10+'Sep 2022'!J10</f>
        <v>7.1950000000000003</v>
      </c>
      <c r="L10" s="1">
        <v>0</v>
      </c>
      <c r="M10" s="1">
        <f>'Aug 2022  '!M10+'Sep 2022'!L10</f>
        <v>0</v>
      </c>
      <c r="N10" s="96">
        <f t="shared" si="1"/>
        <v>349.56999999999994</v>
      </c>
      <c r="O10" s="1">
        <f>'Aug 2022  '!T10</f>
        <v>0.20000000000000007</v>
      </c>
      <c r="P10" s="1">
        <v>0</v>
      </c>
      <c r="Q10" s="1">
        <f>'Aug 2022  '!Q10+'Sep 2022'!P10</f>
        <v>0</v>
      </c>
      <c r="R10" s="1">
        <v>0</v>
      </c>
      <c r="S10" s="1">
        <f>'Aug 2022  '!S10+'Sep 2022'!R10</f>
        <v>0</v>
      </c>
      <c r="T10" s="96">
        <f t="shared" si="2"/>
        <v>0.20000000000000007</v>
      </c>
      <c r="U10" s="96">
        <f t="shared" si="3"/>
        <v>349.76999999999992</v>
      </c>
    </row>
    <row r="11" spans="1:21" s="7" customFormat="1" ht="38.25" customHeight="1">
      <c r="A11" s="88"/>
      <c r="B11" s="90" t="s">
        <v>17</v>
      </c>
      <c r="C11" s="2">
        <f>SUM(C7:C10)</f>
        <v>522.79</v>
      </c>
      <c r="D11" s="2">
        <f t="shared" ref="D11:S11" si="4">SUM(D7:D10)</f>
        <v>0</v>
      </c>
      <c r="E11" s="2">
        <f t="shared" si="4"/>
        <v>0</v>
      </c>
      <c r="F11" s="2">
        <f t="shared" si="4"/>
        <v>21.56</v>
      </c>
      <c r="G11" s="2">
        <f t="shared" si="4"/>
        <v>63.36</v>
      </c>
      <c r="H11" s="2">
        <f t="shared" si="0"/>
        <v>501.22999999999996</v>
      </c>
      <c r="I11" s="2">
        <f t="shared" si="4"/>
        <v>2206.8309999999997</v>
      </c>
      <c r="J11" s="2">
        <f t="shared" si="4"/>
        <v>26.32</v>
      </c>
      <c r="K11" s="2">
        <f t="shared" si="4"/>
        <v>238.03099999999998</v>
      </c>
      <c r="L11" s="2">
        <f t="shared" si="4"/>
        <v>0</v>
      </c>
      <c r="M11" s="2">
        <f t="shared" si="4"/>
        <v>0</v>
      </c>
      <c r="N11" s="2">
        <f t="shared" si="1"/>
        <v>2233.1509999999998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2">
        <f t="shared" si="2"/>
        <v>119.66600000000001</v>
      </c>
      <c r="U11" s="2">
        <f t="shared" si="3"/>
        <v>2854.047</v>
      </c>
    </row>
    <row r="12" spans="1:21" ht="38.25" customHeight="1">
      <c r="A12" s="89">
        <v>5</v>
      </c>
      <c r="B12" s="91" t="s">
        <v>18</v>
      </c>
      <c r="C12" s="1">
        <f>'Aug 2022  '!H12</f>
        <v>355.3099999999996</v>
      </c>
      <c r="D12" s="1">
        <v>0</v>
      </c>
      <c r="E12" s="1">
        <f>'Aug 2022  '!E12+'Sep 2022'!D12</f>
        <v>0</v>
      </c>
      <c r="F12" s="1">
        <v>0</v>
      </c>
      <c r="G12" s="1">
        <f>'Aug 2022  '!G12+'Sep 2022'!F12</f>
        <v>0</v>
      </c>
      <c r="H12" s="96">
        <f t="shared" si="0"/>
        <v>355.3099999999996</v>
      </c>
      <c r="I12" s="1">
        <f>'Aug 2022  '!N12+21.56+84.48</f>
        <v>960.8549999999999</v>
      </c>
      <c r="J12" s="31">
        <f>2.99+31.69</f>
        <v>34.68</v>
      </c>
      <c r="K12" s="1">
        <f>'Aug 2022  '!K12+'Sep 2022'!J12</f>
        <v>84.789999999999992</v>
      </c>
      <c r="L12" s="1">
        <v>0</v>
      </c>
      <c r="M12" s="1">
        <f>'Aug 2022  '!M12+'Sep 2022'!L12</f>
        <v>0</v>
      </c>
      <c r="N12" s="96">
        <f t="shared" si="1"/>
        <v>995.53499999999985</v>
      </c>
      <c r="O12" s="1">
        <f>'Aug 2022  '!T12</f>
        <v>36.850000000000009</v>
      </c>
      <c r="P12" s="1">
        <v>0</v>
      </c>
      <c r="Q12" s="1">
        <f>'Aug 2022  '!Q12+'Sep 2022'!P12</f>
        <v>0</v>
      </c>
      <c r="R12" s="1">
        <v>0</v>
      </c>
      <c r="S12" s="1">
        <f>'Aug 2022  '!S12+'Sep 2022'!R12</f>
        <v>0</v>
      </c>
      <c r="T12" s="96">
        <f t="shared" si="2"/>
        <v>36.850000000000009</v>
      </c>
      <c r="U12" s="96">
        <f t="shared" si="3"/>
        <v>1387.6949999999993</v>
      </c>
    </row>
    <row r="13" spans="1:21" ht="38.25" customHeight="1">
      <c r="A13" s="89">
        <v>6</v>
      </c>
      <c r="B13" s="91" t="s">
        <v>19</v>
      </c>
      <c r="C13" s="1">
        <f>'Aug 2022  '!H13</f>
        <v>312.23000000000013</v>
      </c>
      <c r="D13" s="1">
        <v>0</v>
      </c>
      <c r="E13" s="1">
        <f>'Aug 2022  '!E13+'Sep 2022'!D13</f>
        <v>0</v>
      </c>
      <c r="F13" s="1">
        <v>0</v>
      </c>
      <c r="G13" s="1">
        <f>'Aug 2022  '!G13+'Sep 2022'!F13</f>
        <v>0</v>
      </c>
      <c r="H13" s="96">
        <f t="shared" si="0"/>
        <v>312.23000000000013</v>
      </c>
      <c r="I13" s="1">
        <f>'Aug 2022  '!N13</f>
        <v>531.76200000000017</v>
      </c>
      <c r="J13" s="31">
        <v>1.31</v>
      </c>
      <c r="K13" s="1">
        <f>'Aug 2022  '!K13+'Sep 2022'!J13</f>
        <v>5.24</v>
      </c>
      <c r="L13" s="1">
        <v>0</v>
      </c>
      <c r="M13" s="1">
        <f>'Aug 2022  '!M13+'Sep 2022'!L13</f>
        <v>0.7</v>
      </c>
      <c r="N13" s="96">
        <f t="shared" si="1"/>
        <v>533.07200000000012</v>
      </c>
      <c r="O13" s="1">
        <f>'Aug 2022  '!T13</f>
        <v>68.39</v>
      </c>
      <c r="P13" s="1">
        <v>0</v>
      </c>
      <c r="Q13" s="1">
        <f>'Aug 2022  '!Q13+'Sep 2022'!P13</f>
        <v>0</v>
      </c>
      <c r="R13" s="1">
        <v>0</v>
      </c>
      <c r="S13" s="1">
        <f>'Aug 2022  '!S13+'Sep 2022'!R13</f>
        <v>0</v>
      </c>
      <c r="T13" s="96">
        <f t="shared" si="2"/>
        <v>68.39</v>
      </c>
      <c r="U13" s="96">
        <f t="shared" si="3"/>
        <v>913.69200000000023</v>
      </c>
    </row>
    <row r="14" spans="1:21" s="7" customFormat="1" ht="38.25" customHeight="1">
      <c r="A14" s="89">
        <v>7</v>
      </c>
      <c r="B14" s="91" t="s">
        <v>20</v>
      </c>
      <c r="C14" s="1">
        <f>'Aug 2022  '!H14</f>
        <v>1216.4399999999994</v>
      </c>
      <c r="D14" s="1">
        <v>0</v>
      </c>
      <c r="E14" s="1">
        <f>'Aug 2022  '!E14+'Sep 2022'!D14</f>
        <v>0</v>
      </c>
      <c r="F14" s="1">
        <v>0</v>
      </c>
      <c r="G14" s="1">
        <f>'Aug 2022  '!G14+'Sep 2022'!F14</f>
        <v>0</v>
      </c>
      <c r="H14" s="96">
        <f t="shared" si="0"/>
        <v>1216.4399999999994</v>
      </c>
      <c r="I14" s="1">
        <f>'Aug 2022  '!N14</f>
        <v>878.50800000000015</v>
      </c>
      <c r="J14" s="31">
        <v>3.2</v>
      </c>
      <c r="K14" s="1">
        <f>'Aug 2022  '!K14+'Sep 2022'!J14</f>
        <v>16.920000000000002</v>
      </c>
      <c r="L14" s="1">
        <v>0</v>
      </c>
      <c r="M14" s="1">
        <f>'Aug 2022  '!M14+'Sep 2022'!L14</f>
        <v>0</v>
      </c>
      <c r="N14" s="96">
        <f t="shared" si="1"/>
        <v>881.7080000000002</v>
      </c>
      <c r="O14" s="1">
        <f>'Aug 2022  '!T14</f>
        <v>61.329999999999991</v>
      </c>
      <c r="P14" s="1">
        <v>0</v>
      </c>
      <c r="Q14" s="1">
        <f>'Aug 2022  '!Q14+'Sep 2022'!P14</f>
        <v>0</v>
      </c>
      <c r="R14" s="1">
        <v>0</v>
      </c>
      <c r="S14" s="1">
        <f>'Aug 2022  '!S14+'Sep 2022'!R14</f>
        <v>0</v>
      </c>
      <c r="T14" s="96">
        <f t="shared" si="2"/>
        <v>61.329999999999991</v>
      </c>
      <c r="U14" s="96">
        <f t="shared" si="3"/>
        <v>2159.4779999999996</v>
      </c>
    </row>
    <row r="15" spans="1:21" s="7" customFormat="1" ht="38.25" customHeight="1">
      <c r="A15" s="88"/>
      <c r="B15" s="90" t="s">
        <v>21</v>
      </c>
      <c r="C15" s="2">
        <f>SUM(C12:C14)</f>
        <v>1883.9799999999991</v>
      </c>
      <c r="D15" s="2">
        <f t="shared" ref="D15:S15" si="5">SUM(D12:D14)</f>
        <v>0</v>
      </c>
      <c r="E15" s="2">
        <f t="shared" si="5"/>
        <v>0</v>
      </c>
      <c r="F15" s="2">
        <f t="shared" si="5"/>
        <v>0</v>
      </c>
      <c r="G15" s="2">
        <f t="shared" si="5"/>
        <v>0</v>
      </c>
      <c r="H15" s="2">
        <f t="shared" si="0"/>
        <v>1883.9799999999991</v>
      </c>
      <c r="I15" s="2">
        <f t="shared" si="5"/>
        <v>2371.1250000000005</v>
      </c>
      <c r="J15" s="2">
        <f t="shared" si="5"/>
        <v>39.190000000000005</v>
      </c>
      <c r="K15" s="2">
        <f t="shared" si="5"/>
        <v>106.94999999999999</v>
      </c>
      <c r="L15" s="2">
        <f t="shared" si="5"/>
        <v>0</v>
      </c>
      <c r="M15" s="2">
        <f t="shared" si="5"/>
        <v>0.7</v>
      </c>
      <c r="N15" s="2">
        <f t="shared" si="1"/>
        <v>2410.3150000000005</v>
      </c>
      <c r="O15" s="2">
        <f t="shared" si="5"/>
        <v>166.57</v>
      </c>
      <c r="P15" s="2">
        <f t="shared" si="5"/>
        <v>0</v>
      </c>
      <c r="Q15" s="2">
        <f t="shared" si="5"/>
        <v>0</v>
      </c>
      <c r="R15" s="2">
        <f t="shared" si="5"/>
        <v>0</v>
      </c>
      <c r="S15" s="2">
        <f t="shared" si="5"/>
        <v>0</v>
      </c>
      <c r="T15" s="2">
        <f t="shared" si="2"/>
        <v>166.57</v>
      </c>
      <c r="U15" s="2">
        <f t="shared" si="3"/>
        <v>4460.8649999999998</v>
      </c>
    </row>
    <row r="16" spans="1:21" s="16" customFormat="1" ht="38.25" customHeight="1">
      <c r="A16" s="89">
        <v>8</v>
      </c>
      <c r="B16" s="91" t="s">
        <v>22</v>
      </c>
      <c r="C16" s="1">
        <f>'Aug 2022  '!H16</f>
        <v>967.95400000000029</v>
      </c>
      <c r="D16" s="1">
        <v>1.99</v>
      </c>
      <c r="E16" s="1">
        <f>'Aug 2022  '!E16+'Sep 2022'!D16</f>
        <v>3.44</v>
      </c>
      <c r="F16" s="1">
        <v>140</v>
      </c>
      <c r="G16" s="1">
        <f>'Aug 2022  '!G16+'Sep 2022'!F16</f>
        <v>167.34</v>
      </c>
      <c r="H16" s="96">
        <f t="shared" si="0"/>
        <v>829.9440000000003</v>
      </c>
      <c r="I16" s="1">
        <f>'Aug 2022  '!N16</f>
        <v>355.05599999999993</v>
      </c>
      <c r="J16" s="1">
        <v>212.06</v>
      </c>
      <c r="K16" s="1">
        <f>'Aug 2022  '!K16+'Sep 2022'!J16</f>
        <v>268.07</v>
      </c>
      <c r="L16" s="1">
        <v>0</v>
      </c>
      <c r="M16" s="1">
        <f>'Aug 2022  '!M16+'Sep 2022'!L16</f>
        <v>0</v>
      </c>
      <c r="N16" s="96">
        <f t="shared" si="1"/>
        <v>567.11599999999999</v>
      </c>
      <c r="O16" s="1">
        <f>'Aug 2022  '!T16</f>
        <v>177.41200000000003</v>
      </c>
      <c r="P16" s="1">
        <v>0</v>
      </c>
      <c r="Q16" s="1">
        <f>'Aug 2022  '!Q16+'Sep 2022'!P16</f>
        <v>0</v>
      </c>
      <c r="R16" s="1">
        <v>0</v>
      </c>
      <c r="S16" s="1">
        <f>'Aug 2022  '!S16+'Sep 2022'!R16</f>
        <v>0</v>
      </c>
      <c r="T16" s="96">
        <f t="shared" si="2"/>
        <v>177.41200000000003</v>
      </c>
      <c r="U16" s="96">
        <f t="shared" si="3"/>
        <v>1574.4720000000004</v>
      </c>
    </row>
    <row r="17" spans="1:23" ht="61.5" customHeight="1">
      <c r="A17" s="17">
        <v>9</v>
      </c>
      <c r="B17" s="26" t="s">
        <v>23</v>
      </c>
      <c r="C17" s="1">
        <f>'Aug 2022  '!H17</f>
        <v>2.6759999999999478</v>
      </c>
      <c r="D17" s="1">
        <v>0</v>
      </c>
      <c r="E17" s="1">
        <f>'Aug 2022  '!E17+'Sep 2022'!D17</f>
        <v>0</v>
      </c>
      <c r="F17" s="1">
        <v>0</v>
      </c>
      <c r="G17" s="1">
        <f>'Aug 2022  '!G17+'Sep 2022'!F17</f>
        <v>3.74</v>
      </c>
      <c r="H17" s="96">
        <f t="shared" si="0"/>
        <v>2.6759999999999478</v>
      </c>
      <c r="I17" s="1">
        <f>'Aug 2022  '!N17</f>
        <v>567.07000000000005</v>
      </c>
      <c r="J17" s="1">
        <v>3.56</v>
      </c>
      <c r="K17" s="1">
        <f>'Aug 2022  '!K17+'Sep 2022'!J17</f>
        <v>58.88</v>
      </c>
      <c r="L17" s="1">
        <v>0</v>
      </c>
      <c r="M17" s="1">
        <f>'Aug 2022  '!M17+'Sep 2022'!L17</f>
        <v>0</v>
      </c>
      <c r="N17" s="96">
        <f t="shared" si="1"/>
        <v>570.63</v>
      </c>
      <c r="O17" s="1">
        <f>'Aug 2022  '!T17</f>
        <v>1.9700000000000002</v>
      </c>
      <c r="P17" s="1">
        <v>0</v>
      </c>
      <c r="Q17" s="1">
        <f>'Aug 2022  '!Q17+'Sep 2022'!P17</f>
        <v>1.3399999999999999</v>
      </c>
      <c r="R17" s="1">
        <v>0</v>
      </c>
      <c r="S17" s="1">
        <f>'Aug 2022  '!S17+'Sep 2022'!R17</f>
        <v>5.7</v>
      </c>
      <c r="T17" s="96">
        <f t="shared" si="2"/>
        <v>1.9700000000000002</v>
      </c>
      <c r="U17" s="96">
        <f t="shared" si="3"/>
        <v>575.27599999999995</v>
      </c>
    </row>
    <row r="18" spans="1:23" s="7" customFormat="1" ht="38.25" customHeight="1">
      <c r="A18" s="89">
        <v>10</v>
      </c>
      <c r="B18" s="91" t="s">
        <v>24</v>
      </c>
      <c r="C18" s="1">
        <f>'Aug 2022  '!H18</f>
        <v>136.0160000000001</v>
      </c>
      <c r="D18" s="1">
        <v>0.75</v>
      </c>
      <c r="E18" s="1">
        <f>'Aug 2022  '!E18+'Sep 2022'!D18</f>
        <v>0.99</v>
      </c>
      <c r="F18" s="1">
        <v>0</v>
      </c>
      <c r="G18" s="1">
        <f>'Aug 2022  '!G18+'Sep 2022'!F18</f>
        <v>0</v>
      </c>
      <c r="H18" s="96">
        <f t="shared" si="0"/>
        <v>136.7660000000001</v>
      </c>
      <c r="I18" s="1">
        <f>'Aug 2022  '!N18+1.53</f>
        <v>491.92699999999996</v>
      </c>
      <c r="J18" s="1">
        <v>0.11</v>
      </c>
      <c r="K18" s="1">
        <f>'Aug 2022  '!K18+'Sep 2022'!J18</f>
        <v>4.9700000000000006</v>
      </c>
      <c r="L18" s="1">
        <v>0</v>
      </c>
      <c r="M18" s="1">
        <f>'Aug 2022  '!M18+'Sep 2022'!L18</f>
        <v>0</v>
      </c>
      <c r="N18" s="96">
        <f t="shared" si="1"/>
        <v>492.03699999999998</v>
      </c>
      <c r="O18" s="1">
        <f>'Aug 2022  '!T18</f>
        <v>38.869999999999997</v>
      </c>
      <c r="P18" s="1">
        <v>0.3</v>
      </c>
      <c r="Q18" s="1">
        <f>'Aug 2022  '!Q18+'Sep 2022'!P18</f>
        <v>0.3</v>
      </c>
      <c r="R18" s="1">
        <v>0</v>
      </c>
      <c r="S18" s="1">
        <f>'Aug 2022  '!S18+'Sep 2022'!R18</f>
        <v>0</v>
      </c>
      <c r="T18" s="96">
        <f t="shared" si="2"/>
        <v>39.169999999999995</v>
      </c>
      <c r="U18" s="96">
        <f t="shared" si="3"/>
        <v>667.97300000000007</v>
      </c>
    </row>
    <row r="19" spans="1:23" s="7" customFormat="1" ht="38.25" customHeight="1">
      <c r="A19" s="88"/>
      <c r="B19" s="90" t="s">
        <v>25</v>
      </c>
      <c r="C19" s="2">
        <f>SUM(C16:C18)</f>
        <v>1106.6460000000004</v>
      </c>
      <c r="D19" s="2">
        <f t="shared" ref="D19:S19" si="6">SUM(D16:D18)</f>
        <v>2.74</v>
      </c>
      <c r="E19" s="2">
        <f t="shared" si="6"/>
        <v>4.43</v>
      </c>
      <c r="F19" s="2">
        <f t="shared" si="6"/>
        <v>140</v>
      </c>
      <c r="G19" s="2">
        <f t="shared" si="6"/>
        <v>171.08</v>
      </c>
      <c r="H19" s="2">
        <f t="shared" si="0"/>
        <v>969.38600000000042</v>
      </c>
      <c r="I19" s="2">
        <f t="shared" si="6"/>
        <v>1414.0529999999999</v>
      </c>
      <c r="J19" s="2">
        <f t="shared" si="6"/>
        <v>215.73000000000002</v>
      </c>
      <c r="K19" s="2">
        <f t="shared" si="6"/>
        <v>331.92</v>
      </c>
      <c r="L19" s="2">
        <f t="shared" si="6"/>
        <v>0</v>
      </c>
      <c r="M19" s="2">
        <f t="shared" si="6"/>
        <v>0</v>
      </c>
      <c r="N19" s="2">
        <f t="shared" si="1"/>
        <v>1629.7829999999999</v>
      </c>
      <c r="O19" s="2">
        <f t="shared" si="6"/>
        <v>218.25200000000004</v>
      </c>
      <c r="P19" s="2">
        <f t="shared" si="6"/>
        <v>0.3</v>
      </c>
      <c r="Q19" s="2">
        <f t="shared" si="6"/>
        <v>1.64</v>
      </c>
      <c r="R19" s="2">
        <f t="shared" si="6"/>
        <v>0</v>
      </c>
      <c r="S19" s="2">
        <f t="shared" si="6"/>
        <v>5.7</v>
      </c>
      <c r="T19" s="2">
        <f t="shared" si="2"/>
        <v>218.55200000000005</v>
      </c>
      <c r="U19" s="2">
        <f t="shared" si="3"/>
        <v>2817.7210000000005</v>
      </c>
    </row>
    <row r="20" spans="1:23" ht="38.25" customHeight="1">
      <c r="A20" s="89">
        <v>11</v>
      </c>
      <c r="B20" s="91" t="s">
        <v>26</v>
      </c>
      <c r="C20" s="1">
        <f>'Aug 2022  '!H20</f>
        <v>607.27999999999986</v>
      </c>
      <c r="D20" s="1">
        <v>0</v>
      </c>
      <c r="E20" s="1">
        <f>'Aug 2022  '!E20+'Sep 2022'!D20</f>
        <v>1.62</v>
      </c>
      <c r="F20" s="1">
        <v>0</v>
      </c>
      <c r="G20" s="1">
        <f>'Aug 2022  '!G20+'Sep 2022'!F20</f>
        <v>24.91</v>
      </c>
      <c r="H20" s="96">
        <f t="shared" si="0"/>
        <v>607.27999999999986</v>
      </c>
      <c r="I20" s="1">
        <f>'Aug 2022  '!N20</f>
        <v>721.39800000000014</v>
      </c>
      <c r="J20" s="1">
        <v>3.07</v>
      </c>
      <c r="K20" s="1">
        <f>'Aug 2022  '!K20+'Sep 2022'!J20</f>
        <v>326.32</v>
      </c>
      <c r="L20" s="1">
        <v>0</v>
      </c>
      <c r="M20" s="1">
        <f>'Aug 2022  '!M20+'Sep 2022'!L20</f>
        <v>1.04</v>
      </c>
      <c r="N20" s="96">
        <f t="shared" si="1"/>
        <v>724.46800000000019</v>
      </c>
      <c r="O20" s="1">
        <f>'Aug 2022  '!T20</f>
        <v>37.580000000000005</v>
      </c>
      <c r="P20" s="1">
        <v>0</v>
      </c>
      <c r="Q20" s="1">
        <f>'Aug 2022  '!Q20+'Sep 2022'!P20</f>
        <v>0</v>
      </c>
      <c r="R20" s="1">
        <v>0</v>
      </c>
      <c r="S20" s="1">
        <f>'Aug 2022  '!S20+'Sep 2022'!R20</f>
        <v>2.77</v>
      </c>
      <c r="T20" s="96">
        <f t="shared" si="2"/>
        <v>37.580000000000005</v>
      </c>
      <c r="U20" s="96">
        <f t="shared" si="3"/>
        <v>1369.328</v>
      </c>
      <c r="W20" s="145"/>
    </row>
    <row r="21" spans="1:23" ht="38.25" customHeight="1">
      <c r="A21" s="89">
        <v>12</v>
      </c>
      <c r="B21" s="91" t="s">
        <v>27</v>
      </c>
      <c r="C21" s="1">
        <f>'Aug 2022  '!H21</f>
        <v>22.51</v>
      </c>
      <c r="D21" s="1">
        <v>0</v>
      </c>
      <c r="E21" s="1">
        <f>'Aug 2022  '!E21+'Sep 2022'!D21</f>
        <v>0</v>
      </c>
      <c r="F21" s="1">
        <v>0</v>
      </c>
      <c r="G21" s="1">
        <f>'Aug 2022  '!G21+'Sep 2022'!F21</f>
        <v>0</v>
      </c>
      <c r="H21" s="96">
        <f t="shared" si="0"/>
        <v>22.51</v>
      </c>
      <c r="I21" s="1">
        <f>'Aug 2022  '!N21</f>
        <v>418.59700000000004</v>
      </c>
      <c r="J21" s="1">
        <v>0.41</v>
      </c>
      <c r="K21" s="1">
        <f>'Aug 2022  '!K21+'Sep 2022'!J21</f>
        <v>20.89</v>
      </c>
      <c r="L21" s="1">
        <v>0</v>
      </c>
      <c r="M21" s="1">
        <f>'Aug 2022  '!M21+'Sep 2022'!L21</f>
        <v>0</v>
      </c>
      <c r="N21" s="96">
        <f t="shared" si="1"/>
        <v>419.00700000000006</v>
      </c>
      <c r="O21" s="1">
        <f>'Aug 2022  '!T21</f>
        <v>19.489999999999998</v>
      </c>
      <c r="P21" s="1">
        <v>0</v>
      </c>
      <c r="Q21" s="1">
        <f>'Aug 2022  '!Q21+'Sep 2022'!P21</f>
        <v>0.12</v>
      </c>
      <c r="R21" s="1">
        <v>0</v>
      </c>
      <c r="S21" s="1">
        <f>'Aug 2022  '!S21+'Sep 2022'!R21</f>
        <v>0</v>
      </c>
      <c r="T21" s="96">
        <f t="shared" si="2"/>
        <v>19.489999999999998</v>
      </c>
      <c r="U21" s="96">
        <f t="shared" si="3"/>
        <v>461.00700000000006</v>
      </c>
      <c r="W21" s="145"/>
    </row>
    <row r="22" spans="1:23" s="7" customFormat="1" ht="38.25" customHeight="1">
      <c r="A22" s="89">
        <v>13</v>
      </c>
      <c r="B22" s="91" t="s">
        <v>28</v>
      </c>
      <c r="C22" s="1">
        <f>'Aug 2022  '!H22</f>
        <v>22.430000000000021</v>
      </c>
      <c r="D22" s="1">
        <v>0</v>
      </c>
      <c r="E22" s="1">
        <f>'Aug 2022  '!E22+'Sep 2022'!D22</f>
        <v>0</v>
      </c>
      <c r="F22" s="1">
        <v>0</v>
      </c>
      <c r="G22" s="1">
        <f>'Aug 2022  '!G22+'Sep 2022'!F22</f>
        <v>0</v>
      </c>
      <c r="H22" s="96">
        <f t="shared" si="0"/>
        <v>22.430000000000021</v>
      </c>
      <c r="I22" s="1">
        <f>'Aug 2022  '!N22</f>
        <v>693.24</v>
      </c>
      <c r="J22" s="1">
        <v>1.08</v>
      </c>
      <c r="K22" s="1">
        <f>'Aug 2022  '!K22+'Sep 2022'!J22</f>
        <v>5.43</v>
      </c>
      <c r="L22" s="1">
        <v>0</v>
      </c>
      <c r="M22" s="1">
        <f>'Aug 2022  '!M22+'Sep 2022'!L22</f>
        <v>0.08</v>
      </c>
      <c r="N22" s="96">
        <f t="shared" si="1"/>
        <v>694.32</v>
      </c>
      <c r="O22" s="1">
        <f>'Aug 2022  '!T22</f>
        <v>0.60000000000000098</v>
      </c>
      <c r="P22" s="1">
        <v>0</v>
      </c>
      <c r="Q22" s="1">
        <f>'Aug 2022  '!Q22+'Sep 2022'!P22</f>
        <v>0</v>
      </c>
      <c r="R22" s="1">
        <v>0</v>
      </c>
      <c r="S22" s="1">
        <f>'Aug 2022  '!S22+'Sep 2022'!R22</f>
        <v>0</v>
      </c>
      <c r="T22" s="96">
        <f t="shared" si="2"/>
        <v>0.60000000000000098</v>
      </c>
      <c r="U22" s="96">
        <f t="shared" si="3"/>
        <v>717.35000000000014</v>
      </c>
      <c r="W22" s="145"/>
    </row>
    <row r="23" spans="1:23" s="7" customFormat="1" ht="38.25" customHeight="1">
      <c r="A23" s="89">
        <v>14</v>
      </c>
      <c r="B23" s="91" t="s">
        <v>29</v>
      </c>
      <c r="C23" s="1">
        <f>'Aug 2022  '!H23</f>
        <v>430.64</v>
      </c>
      <c r="D23" s="1">
        <v>0</v>
      </c>
      <c r="E23" s="1">
        <f>'Aug 2022  '!E23+'Sep 2022'!D23</f>
        <v>3.4</v>
      </c>
      <c r="F23" s="1">
        <v>0</v>
      </c>
      <c r="G23" s="1">
        <f>'Aug 2022  '!G23+'Sep 2022'!F23</f>
        <v>0</v>
      </c>
      <c r="H23" s="96">
        <f t="shared" si="0"/>
        <v>430.64</v>
      </c>
      <c r="I23" s="1">
        <f>'Aug 2022  '!N23</f>
        <v>120.08499999999999</v>
      </c>
      <c r="J23" s="1">
        <v>2.29</v>
      </c>
      <c r="K23" s="1">
        <f>'Aug 2022  '!K23+'Sep 2022'!J23</f>
        <v>20.49</v>
      </c>
      <c r="L23" s="1">
        <v>0</v>
      </c>
      <c r="M23" s="1">
        <f>'Aug 2022  '!M23+'Sep 2022'!L23</f>
        <v>0</v>
      </c>
      <c r="N23" s="96">
        <f t="shared" si="1"/>
        <v>122.375</v>
      </c>
      <c r="O23" s="1">
        <f>'Aug 2022  '!T23</f>
        <v>22.5</v>
      </c>
      <c r="P23" s="1">
        <v>0</v>
      </c>
      <c r="Q23" s="1">
        <f>'Aug 2022  '!Q23+'Sep 2022'!P23</f>
        <v>0</v>
      </c>
      <c r="R23" s="1">
        <v>0</v>
      </c>
      <c r="S23" s="1">
        <f>'Aug 2022  '!S23+'Sep 2022'!R23</f>
        <v>0</v>
      </c>
      <c r="T23" s="96">
        <f t="shared" si="2"/>
        <v>22.5</v>
      </c>
      <c r="U23" s="96">
        <f t="shared" si="3"/>
        <v>575.51499999999999</v>
      </c>
      <c r="W23" s="145"/>
    </row>
    <row r="24" spans="1:23" s="7" customFormat="1" ht="38.25" customHeight="1">
      <c r="A24" s="88"/>
      <c r="B24" s="90" t="s">
        <v>30</v>
      </c>
      <c r="C24" s="2">
        <f>SUM(C20:C23)</f>
        <v>1082.8599999999999</v>
      </c>
      <c r="D24" s="2">
        <f t="shared" ref="D24:S24" si="7">SUM(D20:D23)</f>
        <v>0</v>
      </c>
      <c r="E24" s="2">
        <f t="shared" si="7"/>
        <v>5.0199999999999996</v>
      </c>
      <c r="F24" s="2">
        <f t="shared" si="7"/>
        <v>0</v>
      </c>
      <c r="G24" s="2">
        <f t="shared" si="7"/>
        <v>24.91</v>
      </c>
      <c r="H24" s="2">
        <f t="shared" si="0"/>
        <v>1082.8599999999999</v>
      </c>
      <c r="I24" s="2">
        <f t="shared" si="7"/>
        <v>1953.3200000000002</v>
      </c>
      <c r="J24" s="2">
        <f t="shared" si="7"/>
        <v>6.8500000000000005</v>
      </c>
      <c r="K24" s="2">
        <f t="shared" si="7"/>
        <v>373.13</v>
      </c>
      <c r="L24" s="2">
        <f t="shared" si="7"/>
        <v>0</v>
      </c>
      <c r="M24" s="2">
        <f t="shared" si="7"/>
        <v>1.1200000000000001</v>
      </c>
      <c r="N24" s="2">
        <f t="shared" si="1"/>
        <v>1960.17</v>
      </c>
      <c r="O24" s="2">
        <f t="shared" si="7"/>
        <v>80.170000000000016</v>
      </c>
      <c r="P24" s="2">
        <f t="shared" si="7"/>
        <v>0</v>
      </c>
      <c r="Q24" s="2">
        <f t="shared" si="7"/>
        <v>0.12</v>
      </c>
      <c r="R24" s="2">
        <f t="shared" si="7"/>
        <v>0</v>
      </c>
      <c r="S24" s="2">
        <f t="shared" si="7"/>
        <v>2.77</v>
      </c>
      <c r="T24" s="2">
        <f t="shared" si="2"/>
        <v>80.170000000000016</v>
      </c>
      <c r="U24" s="2">
        <f t="shared" si="3"/>
        <v>3123.2</v>
      </c>
    </row>
    <row r="25" spans="1:23" s="7" customFormat="1" ht="38.25" customHeight="1">
      <c r="A25" s="88"/>
      <c r="B25" s="90" t="s">
        <v>31</v>
      </c>
      <c r="C25" s="2">
        <f>C24+C19+C15+C11</f>
        <v>4596.2759999999998</v>
      </c>
      <c r="D25" s="2">
        <f t="shared" ref="D25:S25" si="8">D24+D19+D15+D11</f>
        <v>2.74</v>
      </c>
      <c r="E25" s="2">
        <f t="shared" si="8"/>
        <v>9.4499999999999993</v>
      </c>
      <c r="F25" s="2">
        <f t="shared" si="8"/>
        <v>161.56</v>
      </c>
      <c r="G25" s="2">
        <f t="shared" si="8"/>
        <v>259.35000000000002</v>
      </c>
      <c r="H25" s="2">
        <f t="shared" si="0"/>
        <v>4437.4559999999992</v>
      </c>
      <c r="I25" s="2">
        <f t="shared" si="8"/>
        <v>7945.3289999999997</v>
      </c>
      <c r="J25" s="2">
        <f t="shared" si="8"/>
        <v>288.09000000000003</v>
      </c>
      <c r="K25" s="2">
        <f t="shared" si="8"/>
        <v>1050.0309999999999</v>
      </c>
      <c r="L25" s="2">
        <f t="shared" si="8"/>
        <v>0</v>
      </c>
      <c r="M25" s="2">
        <f t="shared" si="8"/>
        <v>1.82</v>
      </c>
      <c r="N25" s="2">
        <f t="shared" si="1"/>
        <v>8233.4189999999999</v>
      </c>
      <c r="O25" s="2">
        <f t="shared" si="8"/>
        <v>584.65800000000002</v>
      </c>
      <c r="P25" s="2">
        <f t="shared" si="8"/>
        <v>0.3</v>
      </c>
      <c r="Q25" s="2">
        <f t="shared" si="8"/>
        <v>1.7599999999999998</v>
      </c>
      <c r="R25" s="2">
        <f t="shared" si="8"/>
        <v>0</v>
      </c>
      <c r="S25" s="2">
        <f t="shared" si="8"/>
        <v>9.48</v>
      </c>
      <c r="T25" s="2">
        <f t="shared" si="2"/>
        <v>584.95799999999997</v>
      </c>
      <c r="U25" s="2">
        <f t="shared" si="3"/>
        <v>13255.833000000001</v>
      </c>
    </row>
    <row r="26" spans="1:23" ht="38.25" customHeight="1">
      <c r="A26" s="89">
        <v>15</v>
      </c>
      <c r="B26" s="91" t="s">
        <v>32</v>
      </c>
      <c r="C26" s="1">
        <f>'Aug 2022  '!H26</f>
        <v>1584.4299999999998</v>
      </c>
      <c r="D26" s="1">
        <v>5.43</v>
      </c>
      <c r="E26" s="1">
        <f>'Aug 2022  '!E26+'Sep 2022'!D26</f>
        <v>36.879999999999995</v>
      </c>
      <c r="F26" s="1">
        <v>0</v>
      </c>
      <c r="G26" s="1">
        <f>'Aug 2022  '!G26+'Sep 2022'!F26</f>
        <v>0</v>
      </c>
      <c r="H26" s="96">
        <f t="shared" si="0"/>
        <v>1589.86</v>
      </c>
      <c r="I26" s="1">
        <f>'Aug 2022  '!N26</f>
        <v>67.77</v>
      </c>
      <c r="J26" s="1">
        <v>0.26</v>
      </c>
      <c r="K26" s="1">
        <f>'Aug 2022  '!K26+'Sep 2022'!J26</f>
        <v>0.7</v>
      </c>
      <c r="L26" s="1">
        <v>0</v>
      </c>
      <c r="M26" s="1">
        <f>'Aug 2022  '!M26+'Sep 2022'!L26</f>
        <v>0</v>
      </c>
      <c r="N26" s="96">
        <f t="shared" si="1"/>
        <v>68.03</v>
      </c>
      <c r="O26" s="1">
        <f>'Aug 2022  '!T26</f>
        <v>16.11</v>
      </c>
      <c r="P26" s="1">
        <v>0</v>
      </c>
      <c r="Q26" s="1">
        <f>'Aug 2022  '!Q26+'Sep 2022'!P26</f>
        <v>0</v>
      </c>
      <c r="R26" s="1">
        <v>0</v>
      </c>
      <c r="S26" s="1">
        <f>'Aug 2022  '!S26+'Sep 2022'!R26</f>
        <v>0</v>
      </c>
      <c r="T26" s="96">
        <f t="shared" si="2"/>
        <v>16.11</v>
      </c>
      <c r="U26" s="96">
        <f t="shared" si="3"/>
        <v>1673.9999999999998</v>
      </c>
    </row>
    <row r="27" spans="1:23" s="7" customFormat="1" ht="38.25" customHeight="1">
      <c r="A27" s="89">
        <v>16</v>
      </c>
      <c r="B27" s="91" t="s">
        <v>33</v>
      </c>
      <c r="C27" s="1">
        <f>'Aug 2022  '!H27</f>
        <v>5642.095000000003</v>
      </c>
      <c r="D27" s="1">
        <v>7.35</v>
      </c>
      <c r="E27" s="1">
        <f>'Aug 2022  '!E27+'Sep 2022'!D27</f>
        <v>72.739999999999995</v>
      </c>
      <c r="F27" s="1">
        <v>0</v>
      </c>
      <c r="G27" s="1">
        <f>'Aug 2022  '!G27+'Sep 2022'!F27</f>
        <v>0</v>
      </c>
      <c r="H27" s="96">
        <f t="shared" si="0"/>
        <v>5649.4450000000033</v>
      </c>
      <c r="I27" s="1">
        <f>'Aug 2022  '!N27</f>
        <v>602.32799999999997</v>
      </c>
      <c r="J27" s="1">
        <v>0.8</v>
      </c>
      <c r="K27" s="1">
        <f>'Aug 2022  '!K27+'Sep 2022'!J27</f>
        <v>8.9400000000000013</v>
      </c>
      <c r="L27" s="1">
        <v>0</v>
      </c>
      <c r="M27" s="1">
        <f>'Aug 2022  '!M27+'Sep 2022'!L27</f>
        <v>0</v>
      </c>
      <c r="N27" s="96">
        <f t="shared" si="1"/>
        <v>603.12799999999993</v>
      </c>
      <c r="O27" s="1">
        <f>'Aug 2022  '!T27</f>
        <v>33.590000000000003</v>
      </c>
      <c r="P27" s="1">
        <v>0</v>
      </c>
      <c r="Q27" s="1">
        <f>'Aug 2022  '!Q27+'Sep 2022'!P27</f>
        <v>0.1</v>
      </c>
      <c r="R27" s="1">
        <v>0</v>
      </c>
      <c r="S27" s="1">
        <f>'Aug 2022  '!S27+'Sep 2022'!R27</f>
        <v>0</v>
      </c>
      <c r="T27" s="96">
        <f t="shared" si="2"/>
        <v>33.590000000000003</v>
      </c>
      <c r="U27" s="96">
        <f t="shared" si="3"/>
        <v>6286.1630000000032</v>
      </c>
    </row>
    <row r="28" spans="1:23" s="7" customFormat="1" ht="38.25" customHeight="1">
      <c r="A28" s="88"/>
      <c r="B28" s="90" t="s">
        <v>34</v>
      </c>
      <c r="C28" s="2">
        <f>SUM(C26:C27)</f>
        <v>7226.5250000000033</v>
      </c>
      <c r="D28" s="2">
        <f t="shared" ref="D28:S28" si="9">SUM(D26:D27)</f>
        <v>12.78</v>
      </c>
      <c r="E28" s="2">
        <f t="shared" si="9"/>
        <v>109.61999999999999</v>
      </c>
      <c r="F28" s="2">
        <f t="shared" si="9"/>
        <v>0</v>
      </c>
      <c r="G28" s="2">
        <f t="shared" si="9"/>
        <v>0</v>
      </c>
      <c r="H28" s="2">
        <f t="shared" si="0"/>
        <v>7239.305000000003</v>
      </c>
      <c r="I28" s="2">
        <f t="shared" si="9"/>
        <v>670.09799999999996</v>
      </c>
      <c r="J28" s="2">
        <f t="shared" si="9"/>
        <v>1.06</v>
      </c>
      <c r="K28" s="2">
        <f t="shared" si="9"/>
        <v>9.64</v>
      </c>
      <c r="L28" s="2">
        <f t="shared" si="9"/>
        <v>0</v>
      </c>
      <c r="M28" s="2">
        <f t="shared" si="9"/>
        <v>0</v>
      </c>
      <c r="N28" s="2">
        <f t="shared" si="1"/>
        <v>671.1579999999999</v>
      </c>
      <c r="O28" s="2">
        <f t="shared" si="9"/>
        <v>49.7</v>
      </c>
      <c r="P28" s="2">
        <f t="shared" si="9"/>
        <v>0</v>
      </c>
      <c r="Q28" s="2">
        <f t="shared" si="9"/>
        <v>0.1</v>
      </c>
      <c r="R28" s="2">
        <f t="shared" si="9"/>
        <v>0</v>
      </c>
      <c r="S28" s="2">
        <f t="shared" si="9"/>
        <v>0</v>
      </c>
      <c r="T28" s="2">
        <f t="shared" si="2"/>
        <v>49.7</v>
      </c>
      <c r="U28" s="2">
        <f t="shared" si="3"/>
        <v>7960.1630000000032</v>
      </c>
    </row>
    <row r="29" spans="1:23" ht="38.25" customHeight="1">
      <c r="A29" s="89">
        <v>17</v>
      </c>
      <c r="B29" s="91" t="s">
        <v>35</v>
      </c>
      <c r="C29" s="1">
        <f>'Aug 2022  '!H29</f>
        <v>4715.5780000000013</v>
      </c>
      <c r="D29" s="1">
        <f>0.62</f>
        <v>0.62</v>
      </c>
      <c r="E29" s="1">
        <f>'Aug 2022  '!E29+'Sep 2022'!D29</f>
        <v>62.73</v>
      </c>
      <c r="F29" s="1">
        <v>0</v>
      </c>
      <c r="G29" s="1">
        <f>'Aug 2022  '!G29+'Sep 2022'!F29</f>
        <v>0</v>
      </c>
      <c r="H29" s="1">
        <f t="shared" si="0"/>
        <v>4716.1980000000012</v>
      </c>
      <c r="I29" s="1">
        <f>'Aug 2022  '!N29</f>
        <v>119.65</v>
      </c>
      <c r="J29" s="1">
        <v>0.26</v>
      </c>
      <c r="K29" s="1">
        <f>'Aug 2022  '!K29+'Sep 2022'!J29</f>
        <v>0.52</v>
      </c>
      <c r="L29" s="1">
        <v>0</v>
      </c>
      <c r="M29" s="1">
        <f>'Aug 2022  '!M29+'Sep 2022'!L29</f>
        <v>0</v>
      </c>
      <c r="N29" s="96">
        <f t="shared" si="1"/>
        <v>119.91000000000001</v>
      </c>
      <c r="O29" s="1">
        <f>'Aug 2022  '!T29</f>
        <v>34.52000000000001</v>
      </c>
      <c r="P29" s="1">
        <v>0</v>
      </c>
      <c r="Q29" s="1">
        <f>'Aug 2022  '!Q29+'Sep 2022'!P29</f>
        <v>0</v>
      </c>
      <c r="R29" s="1">
        <v>0</v>
      </c>
      <c r="S29" s="1">
        <f>'Aug 2022  '!S29+'Sep 2022'!R29</f>
        <v>23.2</v>
      </c>
      <c r="T29" s="96">
        <f t="shared" si="2"/>
        <v>34.52000000000001</v>
      </c>
      <c r="U29" s="1">
        <f t="shared" si="3"/>
        <v>4870.6280000000015</v>
      </c>
      <c r="W29" s="146"/>
    </row>
    <row r="30" spans="1:23" ht="54.75" customHeight="1">
      <c r="A30" s="89">
        <v>18</v>
      </c>
      <c r="B30" s="91" t="s">
        <v>36</v>
      </c>
      <c r="C30" s="1">
        <f>'Aug 2022  '!H30</f>
        <v>3651.5099999999998</v>
      </c>
      <c r="D30" s="1">
        <v>3.7</v>
      </c>
      <c r="E30" s="1">
        <f>'Aug 2022  '!E30+'Sep 2022'!D30</f>
        <v>42.870000000000012</v>
      </c>
      <c r="F30" s="1">
        <v>0</v>
      </c>
      <c r="G30" s="1">
        <f>'Aug 2022  '!G30+'Sep 2022'!F30</f>
        <v>0</v>
      </c>
      <c r="H30" s="96">
        <f t="shared" si="0"/>
        <v>3655.2099999999996</v>
      </c>
      <c r="I30" s="1">
        <f>'Aug 2022  '!N30</f>
        <v>110.587</v>
      </c>
      <c r="J30" s="1">
        <v>0</v>
      </c>
      <c r="K30" s="1">
        <f>'Aug 2022  '!K30+'Sep 2022'!J30</f>
        <v>0</v>
      </c>
      <c r="L30" s="1">
        <v>0</v>
      </c>
      <c r="M30" s="1">
        <f>'Aug 2022  '!M30+'Sep 2022'!L30</f>
        <v>0</v>
      </c>
      <c r="N30" s="96">
        <f t="shared" si="1"/>
        <v>110.587</v>
      </c>
      <c r="O30" s="1">
        <f>'Aug 2022  '!T30</f>
        <v>23.25</v>
      </c>
      <c r="P30" s="1">
        <v>0</v>
      </c>
      <c r="Q30" s="1">
        <f>'Aug 2022  '!Q30+'Sep 2022'!P30</f>
        <v>0</v>
      </c>
      <c r="R30" s="1">
        <v>0</v>
      </c>
      <c r="S30" s="1">
        <f>'Aug 2022  '!S30+'Sep 2022'!R30</f>
        <v>0</v>
      </c>
      <c r="T30" s="96">
        <f t="shared" si="2"/>
        <v>23.25</v>
      </c>
      <c r="U30" s="1">
        <f t="shared" si="3"/>
        <v>3789.0469999999996</v>
      </c>
      <c r="W30" s="146"/>
    </row>
    <row r="31" spans="1:23" s="7" customFormat="1" ht="44.25" customHeight="1">
      <c r="A31" s="89">
        <v>19</v>
      </c>
      <c r="B31" s="91" t="s">
        <v>37</v>
      </c>
      <c r="C31" s="1">
        <f>'Aug 2022  '!H31</f>
        <v>4679.1190000000006</v>
      </c>
      <c r="D31" s="1">
        <v>3.6760000000000002</v>
      </c>
      <c r="E31" s="1">
        <f>'Aug 2022  '!E31+'Sep 2022'!D31</f>
        <v>17.216000000000001</v>
      </c>
      <c r="F31" s="1">
        <v>0</v>
      </c>
      <c r="G31" s="1">
        <f>'Aug 2022  '!G31+'Sep 2022'!F31</f>
        <v>0</v>
      </c>
      <c r="H31" s="96">
        <f t="shared" si="0"/>
        <v>4682.795000000001</v>
      </c>
      <c r="I31" s="1">
        <f>'Aug 2022  '!N31</f>
        <v>107.63000000000002</v>
      </c>
      <c r="J31" s="1">
        <v>0</v>
      </c>
      <c r="K31" s="1">
        <f>'Aug 2022  '!K31+'Sep 2022'!J31</f>
        <v>0</v>
      </c>
      <c r="L31" s="1">
        <v>0</v>
      </c>
      <c r="M31" s="1">
        <f>'Aug 2022  '!M31+'Sep 2022'!L31</f>
        <v>0</v>
      </c>
      <c r="N31" s="96">
        <f t="shared" si="1"/>
        <v>107.63000000000002</v>
      </c>
      <c r="O31" s="1">
        <f>'Aug 2022  '!T31</f>
        <v>14.850000000000001</v>
      </c>
      <c r="P31" s="1">
        <v>0</v>
      </c>
      <c r="Q31" s="1">
        <f>'Aug 2022  '!Q31+'Sep 2022'!P31</f>
        <v>0</v>
      </c>
      <c r="R31" s="1">
        <v>0</v>
      </c>
      <c r="S31" s="1">
        <f>'Aug 2022  '!S31+'Sep 2022'!R31</f>
        <v>0</v>
      </c>
      <c r="T31" s="96">
        <f t="shared" si="2"/>
        <v>14.850000000000001</v>
      </c>
      <c r="U31" s="1">
        <f t="shared" si="3"/>
        <v>4805.2750000000015</v>
      </c>
      <c r="W31" s="146"/>
    </row>
    <row r="32" spans="1:23" ht="70.5" customHeight="1">
      <c r="A32" s="89">
        <v>20</v>
      </c>
      <c r="B32" s="91" t="s">
        <v>38</v>
      </c>
      <c r="C32" s="1">
        <f>'Aug 2022  '!H32</f>
        <v>2347.7557999999995</v>
      </c>
      <c r="D32" s="1">
        <v>2.19</v>
      </c>
      <c r="E32" s="1">
        <f>'Aug 2022  '!E32+'Sep 2022'!D32</f>
        <v>16.809999999999999</v>
      </c>
      <c r="F32" s="1">
        <v>0</v>
      </c>
      <c r="G32" s="1">
        <f>'Aug 2022  '!G32+'Sep 2022'!F32</f>
        <v>9.7200000000000006</v>
      </c>
      <c r="H32" s="96">
        <f t="shared" si="0"/>
        <v>2349.9457999999995</v>
      </c>
      <c r="I32" s="1">
        <f>'Aug 2022  '!N32</f>
        <v>86.236000000000004</v>
      </c>
      <c r="J32" s="1">
        <v>0.84</v>
      </c>
      <c r="K32" s="1">
        <f>'Aug 2022  '!K32+'Sep 2022'!J32</f>
        <v>4.3100000000000005</v>
      </c>
      <c r="L32" s="1">
        <v>0</v>
      </c>
      <c r="M32" s="1">
        <f>'Aug 2022  '!M32+'Sep 2022'!L32</f>
        <v>0</v>
      </c>
      <c r="N32" s="96">
        <f t="shared" si="1"/>
        <v>87.076000000000008</v>
      </c>
      <c r="O32" s="1">
        <f>'Aug 2022  '!T32</f>
        <v>67.551999999999992</v>
      </c>
      <c r="P32" s="1">
        <v>0</v>
      </c>
      <c r="Q32" s="1">
        <f>'Aug 2022  '!Q32+'Sep 2022'!P32</f>
        <v>0</v>
      </c>
      <c r="R32" s="1">
        <v>0</v>
      </c>
      <c r="S32" s="1">
        <f>'Aug 2022  '!S32+'Sep 2022'!R32</f>
        <v>0</v>
      </c>
      <c r="T32" s="96">
        <f t="shared" si="2"/>
        <v>67.551999999999992</v>
      </c>
      <c r="U32" s="1">
        <f t="shared" si="3"/>
        <v>2504.5737999999997</v>
      </c>
      <c r="W32" s="146"/>
    </row>
    <row r="33" spans="1:23" s="7" customFormat="1" ht="38.25" customHeight="1">
      <c r="A33" s="88"/>
      <c r="B33" s="90" t="s">
        <v>65</v>
      </c>
      <c r="C33" s="2">
        <f>SUM(C29:C32)</f>
        <v>15393.962800000001</v>
      </c>
      <c r="D33" s="2">
        <f t="shared" ref="D33:S33" si="10">SUM(D29:D32)</f>
        <v>10.186</v>
      </c>
      <c r="E33" s="2">
        <f t="shared" si="10"/>
        <v>139.626</v>
      </c>
      <c r="F33" s="2">
        <f t="shared" si="10"/>
        <v>0</v>
      </c>
      <c r="G33" s="2">
        <f t="shared" si="10"/>
        <v>9.7200000000000006</v>
      </c>
      <c r="H33" s="2">
        <f t="shared" si="0"/>
        <v>15404.148800000001</v>
      </c>
      <c r="I33" s="2">
        <f t="shared" si="10"/>
        <v>424.10300000000007</v>
      </c>
      <c r="J33" s="2">
        <f t="shared" si="10"/>
        <v>1.1000000000000001</v>
      </c>
      <c r="K33" s="2">
        <f t="shared" si="10"/>
        <v>4.83</v>
      </c>
      <c r="L33" s="2">
        <f t="shared" si="10"/>
        <v>0</v>
      </c>
      <c r="M33" s="2">
        <f t="shared" si="10"/>
        <v>0</v>
      </c>
      <c r="N33" s="2">
        <f t="shared" si="1"/>
        <v>425.20300000000009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2"/>
        <v>140.172</v>
      </c>
      <c r="U33" s="2">
        <f t="shared" si="3"/>
        <v>15969.523800000001</v>
      </c>
    </row>
    <row r="34" spans="1:23" ht="38.25" customHeight="1">
      <c r="A34" s="89">
        <v>21</v>
      </c>
      <c r="B34" s="91" t="s">
        <v>39</v>
      </c>
      <c r="C34" s="1">
        <f>'Aug 2022  '!H34</f>
        <v>4536.87</v>
      </c>
      <c r="D34" s="1">
        <v>27.43</v>
      </c>
      <c r="E34" s="1">
        <f>'Aug 2022  '!E34+'Sep 2022'!D34</f>
        <v>125.19999999999999</v>
      </c>
      <c r="F34" s="1">
        <v>0</v>
      </c>
      <c r="G34" s="1">
        <f>'Aug 2022  '!G34+'Sep 2022'!F34</f>
        <v>0</v>
      </c>
      <c r="H34" s="1">
        <f t="shared" si="0"/>
        <v>4564.3</v>
      </c>
      <c r="I34" s="1">
        <f>'Aug 2022  '!N34</f>
        <v>84.46</v>
      </c>
      <c r="J34" s="1">
        <v>0.49</v>
      </c>
      <c r="K34" s="1">
        <f>'Aug 2022  '!K34+'Sep 2022'!J34</f>
        <v>84.949999999999989</v>
      </c>
      <c r="L34" s="1">
        <v>0</v>
      </c>
      <c r="M34" s="1">
        <f>'Aug 2022  '!M34+'Sep 2022'!L34</f>
        <v>0</v>
      </c>
      <c r="N34" s="96">
        <f t="shared" si="1"/>
        <v>84.949999999999989</v>
      </c>
      <c r="O34" s="1">
        <f>'Aug 2022  '!T34</f>
        <v>72.7</v>
      </c>
      <c r="P34" s="1">
        <v>0</v>
      </c>
      <c r="Q34" s="1">
        <f>'Aug 2022  '!Q34+'Sep 2022'!P34</f>
        <v>72.7</v>
      </c>
      <c r="R34" s="1">
        <v>0</v>
      </c>
      <c r="S34" s="1">
        <f>'Aug 2022  '!S34+'Sep 2022'!R34</f>
        <v>0</v>
      </c>
      <c r="T34" s="96">
        <f t="shared" si="2"/>
        <v>72.7</v>
      </c>
      <c r="U34" s="1">
        <f t="shared" si="3"/>
        <v>4721.95</v>
      </c>
    </row>
    <row r="35" spans="1:23" ht="38.25" customHeight="1">
      <c r="A35" s="89">
        <v>22</v>
      </c>
      <c r="B35" s="91" t="s">
        <v>40</v>
      </c>
      <c r="C35" s="1">
        <f>'Aug 2022  '!H35</f>
        <v>6376.0099999999975</v>
      </c>
      <c r="D35" s="1">
        <v>50.07</v>
      </c>
      <c r="E35" s="1">
        <f>'Aug 2022  '!E35+'Sep 2022'!D35</f>
        <v>216.5</v>
      </c>
      <c r="F35" s="1">
        <v>0</v>
      </c>
      <c r="G35" s="1">
        <f>'Aug 2022  '!G35+'Sep 2022'!F35</f>
        <v>0</v>
      </c>
      <c r="H35" s="1">
        <f t="shared" si="0"/>
        <v>6426.0799999999972</v>
      </c>
      <c r="I35" s="1">
        <f>'Aug 2022  '!N35</f>
        <v>34.130000000000003</v>
      </c>
      <c r="J35" s="1">
        <v>0</v>
      </c>
      <c r="K35" s="1">
        <f>'Aug 2022  '!K35+'Sep 2022'!J35</f>
        <v>27.21</v>
      </c>
      <c r="L35" s="1">
        <v>0</v>
      </c>
      <c r="M35" s="1">
        <f>'Aug 2022  '!M35+'Sep 2022'!L35</f>
        <v>0</v>
      </c>
      <c r="N35" s="96">
        <f t="shared" si="1"/>
        <v>34.130000000000003</v>
      </c>
      <c r="O35" s="1">
        <f>'Aug 2022  '!T35</f>
        <v>90.800000000000011</v>
      </c>
      <c r="P35" s="1">
        <v>0</v>
      </c>
      <c r="Q35" s="1">
        <f>'Aug 2022  '!Q35+'Sep 2022'!P35</f>
        <v>32.380000000000003</v>
      </c>
      <c r="R35" s="1">
        <v>0</v>
      </c>
      <c r="S35" s="1">
        <f>'Aug 2022  '!S35+'Sep 2022'!R35</f>
        <v>0</v>
      </c>
      <c r="T35" s="96">
        <f t="shared" si="2"/>
        <v>90.800000000000011</v>
      </c>
      <c r="U35" s="1">
        <f t="shared" si="3"/>
        <v>6551.0099999999975</v>
      </c>
    </row>
    <row r="36" spans="1:23" s="7" customFormat="1" ht="38.25" customHeight="1">
      <c r="A36" s="89">
        <v>23</v>
      </c>
      <c r="B36" s="91" t="s">
        <v>41</v>
      </c>
      <c r="C36" s="1">
        <f>'Aug 2022  '!H36</f>
        <v>3563.54</v>
      </c>
      <c r="D36" s="1">
        <v>3.71</v>
      </c>
      <c r="E36" s="1">
        <f>'Aug 2022  '!E36+'Sep 2022'!D36</f>
        <v>116.14999999999999</v>
      </c>
      <c r="F36" s="1">
        <v>0</v>
      </c>
      <c r="G36" s="1">
        <f>'Aug 2022  '!G36+'Sep 2022'!F36</f>
        <v>0</v>
      </c>
      <c r="H36" s="1">
        <f t="shared" si="0"/>
        <v>3567.25</v>
      </c>
      <c r="I36" s="1">
        <f>'Aug 2022  '!N36</f>
        <v>30.250000000000039</v>
      </c>
      <c r="J36" s="1">
        <v>0</v>
      </c>
      <c r="K36" s="1">
        <f>'Aug 2022  '!K36+'Sep 2022'!J36</f>
        <v>5.2</v>
      </c>
      <c r="L36" s="1">
        <v>0</v>
      </c>
      <c r="M36" s="1">
        <f>'Aug 2022  '!M36+'Sep 2022'!L36</f>
        <v>4.63</v>
      </c>
      <c r="N36" s="96">
        <f t="shared" si="1"/>
        <v>30.250000000000039</v>
      </c>
      <c r="O36" s="1">
        <f>'Aug 2022  '!T36</f>
        <v>36.379999999999995</v>
      </c>
      <c r="P36" s="1">
        <v>0</v>
      </c>
      <c r="Q36" s="1">
        <f>'Aug 2022  '!Q36+'Sep 2022'!P36</f>
        <v>19.29</v>
      </c>
      <c r="R36" s="1">
        <v>0</v>
      </c>
      <c r="S36" s="1">
        <f>'Aug 2022  '!S36+'Sep 2022'!R36</f>
        <v>0</v>
      </c>
      <c r="T36" s="96">
        <f t="shared" si="2"/>
        <v>36.379999999999995</v>
      </c>
      <c r="U36" s="1">
        <f t="shared" si="3"/>
        <v>3633.88</v>
      </c>
    </row>
    <row r="37" spans="1:23" s="7" customFormat="1" ht="38.25" customHeight="1">
      <c r="A37" s="89">
        <v>24</v>
      </c>
      <c r="B37" s="91" t="s">
        <v>42</v>
      </c>
      <c r="C37" s="1">
        <f>'Aug 2022  '!H37</f>
        <v>4898.3399999999974</v>
      </c>
      <c r="D37" s="1">
        <v>13.39</v>
      </c>
      <c r="E37" s="1">
        <f>'Aug 2022  '!E37+'Sep 2022'!D37</f>
        <v>123.61</v>
      </c>
      <c r="F37" s="1">
        <v>0</v>
      </c>
      <c r="G37" s="1">
        <f>'Aug 2022  '!G37+'Sep 2022'!F37</f>
        <v>0</v>
      </c>
      <c r="H37" s="1">
        <f t="shared" si="0"/>
        <v>4911.7299999999977</v>
      </c>
      <c r="I37" s="1">
        <f>'Aug 2022  '!N37</f>
        <v>26.700000000000003</v>
      </c>
      <c r="J37" s="1">
        <v>0</v>
      </c>
      <c r="K37" s="1">
        <f>'Aug 2022  '!K37+'Sep 2022'!J37</f>
        <v>14.27</v>
      </c>
      <c r="L37" s="1">
        <v>0</v>
      </c>
      <c r="M37" s="1">
        <f>'Aug 2022  '!M37+'Sep 2022'!L37</f>
        <v>1.06</v>
      </c>
      <c r="N37" s="96">
        <f t="shared" si="1"/>
        <v>26.700000000000003</v>
      </c>
      <c r="O37" s="1">
        <f>'Aug 2022  '!T37</f>
        <v>3.0599999999999996</v>
      </c>
      <c r="P37" s="1">
        <v>0</v>
      </c>
      <c r="Q37" s="1">
        <f>'Aug 2022  '!Q37+'Sep 2022'!P37</f>
        <v>0</v>
      </c>
      <c r="R37" s="1">
        <v>0</v>
      </c>
      <c r="S37" s="1">
        <f>'Aug 2022  '!S37+'Sep 2022'!R37</f>
        <v>3.46</v>
      </c>
      <c r="T37" s="96">
        <f t="shared" si="2"/>
        <v>3.0599999999999996</v>
      </c>
      <c r="U37" s="1">
        <f t="shared" si="3"/>
        <v>4941.489999999998</v>
      </c>
    </row>
    <row r="38" spans="1:23" s="7" customFormat="1" ht="38.25" customHeight="1">
      <c r="A38" s="88"/>
      <c r="B38" s="90" t="s">
        <v>43</v>
      </c>
      <c r="C38" s="2">
        <f>SUM(C34:C37)</f>
        <v>19374.759999999995</v>
      </c>
      <c r="D38" s="2">
        <f t="shared" ref="D38:S38" si="11">SUM(D34:D37)</f>
        <v>94.6</v>
      </c>
      <c r="E38" s="2">
        <f t="shared" si="11"/>
        <v>581.45999999999992</v>
      </c>
      <c r="F38" s="2">
        <f t="shared" si="11"/>
        <v>0</v>
      </c>
      <c r="G38" s="2">
        <f t="shared" si="11"/>
        <v>0</v>
      </c>
      <c r="H38" s="2">
        <f t="shared" si="0"/>
        <v>19469.359999999993</v>
      </c>
      <c r="I38" s="2">
        <f t="shared" si="11"/>
        <v>175.54000000000002</v>
      </c>
      <c r="J38" s="2">
        <f t="shared" si="11"/>
        <v>0.49</v>
      </c>
      <c r="K38" s="2">
        <f t="shared" si="11"/>
        <v>131.63</v>
      </c>
      <c r="L38" s="2">
        <f t="shared" si="11"/>
        <v>0</v>
      </c>
      <c r="M38" s="2">
        <f t="shared" si="11"/>
        <v>5.6899999999999995</v>
      </c>
      <c r="N38" s="2">
        <f t="shared" si="1"/>
        <v>176.03000000000003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2"/>
        <v>202.94</v>
      </c>
      <c r="U38" s="2">
        <f t="shared" si="3"/>
        <v>19848.329999999991</v>
      </c>
    </row>
    <row r="39" spans="1:23" s="7" customFormat="1" ht="38.25" customHeight="1">
      <c r="A39" s="88"/>
      <c r="B39" s="90" t="s">
        <v>44</v>
      </c>
      <c r="C39" s="2">
        <f>C38+C33+C28</f>
        <v>41995.247799999997</v>
      </c>
      <c r="D39" s="2">
        <f t="shared" ref="D39:V39" si="12">D38+D33+D28</f>
        <v>117.566</v>
      </c>
      <c r="E39" s="2">
        <f t="shared" si="12"/>
        <v>830.7059999999999</v>
      </c>
      <c r="F39" s="2">
        <f t="shared" si="12"/>
        <v>0</v>
      </c>
      <c r="G39" s="2">
        <f t="shared" si="12"/>
        <v>9.7200000000000006</v>
      </c>
      <c r="H39" s="2">
        <f t="shared" si="0"/>
        <v>42112.813799999996</v>
      </c>
      <c r="I39" s="2">
        <f t="shared" si="12"/>
        <v>1269.741</v>
      </c>
      <c r="J39" s="2">
        <f t="shared" si="12"/>
        <v>2.6500000000000004</v>
      </c>
      <c r="K39" s="2">
        <f t="shared" si="12"/>
        <v>146.10000000000002</v>
      </c>
      <c r="L39" s="2">
        <f t="shared" si="12"/>
        <v>0</v>
      </c>
      <c r="M39" s="2">
        <f t="shared" si="12"/>
        <v>5.6899999999999995</v>
      </c>
      <c r="N39" s="2">
        <f t="shared" si="1"/>
        <v>1272.3910000000001</v>
      </c>
      <c r="O39" s="2">
        <f t="shared" si="12"/>
        <v>392.81199999999995</v>
      </c>
      <c r="P39" s="2">
        <f t="shared" si="12"/>
        <v>0</v>
      </c>
      <c r="Q39" s="2">
        <f t="shared" si="12"/>
        <v>124.47</v>
      </c>
      <c r="R39" s="2">
        <f t="shared" si="12"/>
        <v>0</v>
      </c>
      <c r="S39" s="2">
        <f t="shared" si="12"/>
        <v>26.66</v>
      </c>
      <c r="T39" s="2">
        <f t="shared" si="2"/>
        <v>392.81199999999995</v>
      </c>
      <c r="U39" s="2">
        <f t="shared" si="3"/>
        <v>43778.016799999998</v>
      </c>
      <c r="V39" s="2">
        <f t="shared" si="12"/>
        <v>0</v>
      </c>
      <c r="W39" s="2"/>
    </row>
    <row r="40" spans="1:23" ht="38.25" customHeight="1">
      <c r="A40" s="89">
        <v>25</v>
      </c>
      <c r="B40" s="91" t="s">
        <v>45</v>
      </c>
      <c r="C40" s="1">
        <f>'Aug 2022  '!H40</f>
        <v>11725.633999999998</v>
      </c>
      <c r="D40" s="1">
        <v>15.33</v>
      </c>
      <c r="E40" s="1">
        <f>'Aug 2022  '!E40+'Sep 2022'!D40</f>
        <v>350.52000000000004</v>
      </c>
      <c r="F40" s="1">
        <v>0</v>
      </c>
      <c r="G40" s="1">
        <f>'Aug 2022  '!G40+'Sep 2022'!F40</f>
        <v>0</v>
      </c>
      <c r="H40" s="1">
        <f t="shared" si="0"/>
        <v>11740.963999999998</v>
      </c>
      <c r="I40" s="1">
        <f>'Aug 2022  '!N40</f>
        <v>198.73</v>
      </c>
      <c r="J40" s="1">
        <v>0</v>
      </c>
      <c r="K40" s="1">
        <f>'Aug 2022  '!K40+'Sep 2022'!J40</f>
        <v>0</v>
      </c>
      <c r="L40" s="1">
        <v>0</v>
      </c>
      <c r="M40" s="1">
        <f>'Aug 2022  '!M40+'Sep 2022'!L40</f>
        <v>0</v>
      </c>
      <c r="N40" s="96">
        <f t="shared" si="1"/>
        <v>198.73</v>
      </c>
      <c r="O40" s="1">
        <f>'Aug 2022  '!T40</f>
        <v>53.46</v>
      </c>
      <c r="P40" s="1">
        <v>0</v>
      </c>
      <c r="Q40" s="1">
        <f>'Aug 2022  '!Q40+'Sep 2022'!P40</f>
        <v>53.46</v>
      </c>
      <c r="R40" s="1">
        <v>0</v>
      </c>
      <c r="S40" s="1">
        <f>'Aug 2022  '!S40+'Sep 2022'!R40</f>
        <v>0</v>
      </c>
      <c r="T40" s="1">
        <f t="shared" si="2"/>
        <v>53.46</v>
      </c>
      <c r="U40" s="1">
        <f t="shared" si="3"/>
        <v>11993.153999999997</v>
      </c>
    </row>
    <row r="41" spans="1:23" ht="38.25" customHeight="1">
      <c r="A41" s="89">
        <v>26</v>
      </c>
      <c r="B41" s="91" t="s">
        <v>46</v>
      </c>
      <c r="C41" s="1">
        <f>'Aug 2022  '!H41</f>
        <v>7953.7689999999939</v>
      </c>
      <c r="D41" s="1">
        <v>148.9</v>
      </c>
      <c r="E41" s="1">
        <f>'Aug 2022  '!E41+'Sep 2022'!D41</f>
        <v>604.63200000000006</v>
      </c>
      <c r="F41" s="1">
        <v>0</v>
      </c>
      <c r="G41" s="1">
        <f>'Aug 2022  '!G41+'Sep 2022'!F41</f>
        <v>0</v>
      </c>
      <c r="H41" s="1">
        <f t="shared" si="0"/>
        <v>8102.6689999999935</v>
      </c>
      <c r="I41" s="1">
        <f>'Aug 2022  '!N41</f>
        <v>8.67</v>
      </c>
      <c r="J41" s="1">
        <v>0</v>
      </c>
      <c r="K41" s="1">
        <f>'Aug 2022  '!K41+'Sep 2022'!J41</f>
        <v>0</v>
      </c>
      <c r="L41" s="1">
        <v>0</v>
      </c>
      <c r="M41" s="1">
        <f>'Aug 2022  '!M41+'Sep 2022'!L41</f>
        <v>0</v>
      </c>
      <c r="N41" s="96">
        <f t="shared" si="1"/>
        <v>8.67</v>
      </c>
      <c r="O41" s="1">
        <f>'Aug 2022  '!T41</f>
        <v>47.1</v>
      </c>
      <c r="P41" s="1">
        <v>0</v>
      </c>
      <c r="Q41" s="1">
        <f>'Aug 2022  '!Q41+'Sep 2022'!P41</f>
        <v>47.1</v>
      </c>
      <c r="R41" s="1">
        <v>0</v>
      </c>
      <c r="S41" s="1">
        <f>'Aug 2022  '!S41+'Sep 2022'!R41</f>
        <v>0</v>
      </c>
      <c r="T41" s="1">
        <f t="shared" si="2"/>
        <v>47.1</v>
      </c>
      <c r="U41" s="1">
        <f t="shared" si="3"/>
        <v>8158.4389999999939</v>
      </c>
    </row>
    <row r="42" spans="1:23" s="7" customFormat="1" ht="38.25" customHeight="1">
      <c r="A42" s="89">
        <v>27</v>
      </c>
      <c r="B42" s="91" t="s">
        <v>47</v>
      </c>
      <c r="C42" s="1">
        <f>'Aug 2022  '!H42</f>
        <v>13860.478999999996</v>
      </c>
      <c r="D42" s="1">
        <v>4.88</v>
      </c>
      <c r="E42" s="1">
        <f>'Aug 2022  '!E42+'Sep 2022'!D42</f>
        <v>59.920000000000009</v>
      </c>
      <c r="F42" s="1">
        <v>0</v>
      </c>
      <c r="G42" s="1">
        <f>'Aug 2022  '!G42+'Sep 2022'!F42</f>
        <v>0</v>
      </c>
      <c r="H42" s="1">
        <f t="shared" si="0"/>
        <v>13865.358999999995</v>
      </c>
      <c r="I42" s="1">
        <f>'Aug 2022  '!N42</f>
        <v>15.62</v>
      </c>
      <c r="J42" s="1">
        <v>0</v>
      </c>
      <c r="K42" s="1">
        <f>'Aug 2022  '!K42+'Sep 2022'!J42</f>
        <v>0</v>
      </c>
      <c r="L42" s="1">
        <v>0</v>
      </c>
      <c r="M42" s="1">
        <f>'Aug 2022  '!M42+'Sep 2022'!L42</f>
        <v>0</v>
      </c>
      <c r="N42" s="96">
        <f t="shared" si="1"/>
        <v>15.62</v>
      </c>
      <c r="O42" s="1">
        <f>'Aug 2022  '!T42</f>
        <v>73.239999999999995</v>
      </c>
      <c r="P42" s="1">
        <v>0</v>
      </c>
      <c r="Q42" s="1">
        <f>'Aug 2022  '!Q42+'Sep 2022'!P42</f>
        <v>34.22</v>
      </c>
      <c r="R42" s="1">
        <v>0</v>
      </c>
      <c r="S42" s="1">
        <f>'Aug 2022  '!S42+'Sep 2022'!R42</f>
        <v>0</v>
      </c>
      <c r="T42" s="1">
        <f t="shared" si="2"/>
        <v>73.239999999999995</v>
      </c>
      <c r="U42" s="1">
        <f t="shared" si="3"/>
        <v>13954.218999999996</v>
      </c>
    </row>
    <row r="43" spans="1:23" ht="38.25" customHeight="1">
      <c r="A43" s="89">
        <v>28</v>
      </c>
      <c r="B43" s="91" t="s">
        <v>48</v>
      </c>
      <c r="C43" s="1">
        <f>'Aug 2022  '!H43</f>
        <v>4020.860000000001</v>
      </c>
      <c r="D43" s="1">
        <v>7.7</v>
      </c>
      <c r="E43" s="1">
        <f>'Aug 2022  '!E43+'Sep 2022'!D43</f>
        <v>61.080000000000005</v>
      </c>
      <c r="F43" s="1">
        <v>0</v>
      </c>
      <c r="G43" s="1">
        <f>'Aug 2022  '!G43+'Sep 2022'!F43</f>
        <v>0</v>
      </c>
      <c r="H43" s="1">
        <f t="shared" si="0"/>
        <v>4028.5600000000009</v>
      </c>
      <c r="I43" s="1">
        <f>'Aug 2022  '!N43</f>
        <v>3.5</v>
      </c>
      <c r="J43" s="1">
        <v>0</v>
      </c>
      <c r="K43" s="1">
        <f>'Aug 2022  '!K43+'Sep 2022'!J43</f>
        <v>0</v>
      </c>
      <c r="L43" s="1">
        <v>0</v>
      </c>
      <c r="M43" s="1">
        <f>'Aug 2022  '!M43+'Sep 2022'!L43</f>
        <v>0</v>
      </c>
      <c r="N43" s="96">
        <f t="shared" si="1"/>
        <v>3.5</v>
      </c>
      <c r="O43" s="1">
        <f>'Aug 2022  '!T43</f>
        <v>29.8</v>
      </c>
      <c r="P43" s="1">
        <v>0</v>
      </c>
      <c r="Q43" s="1">
        <f>'Aug 2022  '!Q43+'Sep 2022'!P43</f>
        <v>29.8</v>
      </c>
      <c r="R43" s="1">
        <v>0</v>
      </c>
      <c r="S43" s="1">
        <f>'Aug 2022  '!S43+'Sep 2022'!R43</f>
        <v>0</v>
      </c>
      <c r="T43" s="96">
        <f t="shared" si="2"/>
        <v>29.8</v>
      </c>
      <c r="U43" s="1">
        <f t="shared" si="3"/>
        <v>4061.860000000001</v>
      </c>
    </row>
    <row r="44" spans="1:23" s="7" customFormat="1" ht="38.25" customHeight="1">
      <c r="A44" s="88"/>
      <c r="B44" s="90" t="s">
        <v>49</v>
      </c>
      <c r="C44" s="2">
        <f>SUM(C40:C43)</f>
        <v>37560.741999999984</v>
      </c>
      <c r="D44" s="2">
        <f t="shared" ref="D44:S44" si="13">SUM(D40:D43)</f>
        <v>176.81</v>
      </c>
      <c r="E44" s="2">
        <f t="shared" si="13"/>
        <v>1076.152</v>
      </c>
      <c r="F44" s="2">
        <f t="shared" si="13"/>
        <v>0</v>
      </c>
      <c r="G44" s="2">
        <f t="shared" si="13"/>
        <v>0</v>
      </c>
      <c r="H44" s="2">
        <f t="shared" si="0"/>
        <v>37737.551999999981</v>
      </c>
      <c r="I44" s="2">
        <f t="shared" si="13"/>
        <v>226.51999999999998</v>
      </c>
      <c r="J44" s="2">
        <f t="shared" si="13"/>
        <v>0</v>
      </c>
      <c r="K44" s="2">
        <f t="shared" si="13"/>
        <v>0</v>
      </c>
      <c r="L44" s="2">
        <f t="shared" si="13"/>
        <v>0</v>
      </c>
      <c r="M44" s="2">
        <f t="shared" si="13"/>
        <v>0</v>
      </c>
      <c r="N44" s="2">
        <f t="shared" si="1"/>
        <v>226.51999999999998</v>
      </c>
      <c r="O44" s="2">
        <f t="shared" si="13"/>
        <v>203.60000000000002</v>
      </c>
      <c r="P44" s="2">
        <f t="shared" si="13"/>
        <v>0</v>
      </c>
      <c r="Q44" s="2">
        <f t="shared" si="13"/>
        <v>164.58</v>
      </c>
      <c r="R44" s="2">
        <f t="shared" si="13"/>
        <v>0</v>
      </c>
      <c r="S44" s="2">
        <f t="shared" si="13"/>
        <v>0</v>
      </c>
      <c r="T44" s="2">
        <f t="shared" si="2"/>
        <v>203.60000000000002</v>
      </c>
      <c r="U44" s="2">
        <f t="shared" si="3"/>
        <v>38167.671999999977</v>
      </c>
    </row>
    <row r="45" spans="1:23" ht="38.25" customHeight="1">
      <c r="A45" s="89">
        <v>29</v>
      </c>
      <c r="B45" s="91" t="s">
        <v>50</v>
      </c>
      <c r="C45" s="1">
        <f>'Aug 2022  '!H45</f>
        <v>8125.7921000000006</v>
      </c>
      <c r="D45" s="1">
        <v>26.36</v>
      </c>
      <c r="E45" s="1">
        <f>'Aug 2022  '!E45+'Sep 2022'!D45</f>
        <v>100.17</v>
      </c>
      <c r="F45" s="1">
        <v>0</v>
      </c>
      <c r="G45" s="1">
        <f>'Aug 2022  '!G45+'Sep 2022'!F45</f>
        <v>0</v>
      </c>
      <c r="H45" s="96">
        <f t="shared" si="0"/>
        <v>8152.1521000000002</v>
      </c>
      <c r="I45" s="1">
        <f>'Aug 2022  '!N45</f>
        <v>107.02</v>
      </c>
      <c r="J45" s="1">
        <f>0.01+50</f>
        <v>50.01</v>
      </c>
      <c r="K45" s="1">
        <f>'Aug 2022  '!K45+'Sep 2022'!J45</f>
        <v>115.10999999999999</v>
      </c>
      <c r="L45" s="1">
        <v>0</v>
      </c>
      <c r="M45" s="1">
        <f>'Aug 2022  '!M45+'Sep 2022'!L45</f>
        <v>0</v>
      </c>
      <c r="N45" s="1">
        <f t="shared" si="1"/>
        <v>157.03</v>
      </c>
      <c r="O45" s="1">
        <f>'Aug 2022  '!T45</f>
        <v>28.81</v>
      </c>
      <c r="P45" s="1">
        <v>26.43</v>
      </c>
      <c r="Q45" s="1">
        <f>'Aug 2022  '!Q45+'Sep 2022'!P45</f>
        <v>40.489999999999995</v>
      </c>
      <c r="R45" s="1">
        <v>0</v>
      </c>
      <c r="S45" s="1">
        <f>'Aug 2022  '!S45+'Sep 2022'!R45</f>
        <v>0</v>
      </c>
      <c r="T45" s="1">
        <f t="shared" si="2"/>
        <v>55.239999999999995</v>
      </c>
      <c r="U45" s="1">
        <f t="shared" si="3"/>
        <v>8364.4220999999998</v>
      </c>
    </row>
    <row r="46" spans="1:23" ht="38.25" customHeight="1">
      <c r="A46" s="89">
        <v>30</v>
      </c>
      <c r="B46" s="91" t="s">
        <v>51</v>
      </c>
      <c r="C46" s="1">
        <f>'Aug 2022  '!H46</f>
        <v>7785.2050000000017</v>
      </c>
      <c r="D46" s="1">
        <v>1.93</v>
      </c>
      <c r="E46" s="1">
        <f>'Aug 2022  '!E46+'Sep 2022'!D46</f>
        <v>48.64</v>
      </c>
      <c r="F46" s="1">
        <v>0</v>
      </c>
      <c r="G46" s="1">
        <f>'Aug 2022  '!G46+'Sep 2022'!F46</f>
        <v>0</v>
      </c>
      <c r="H46" s="96">
        <f t="shared" si="0"/>
        <v>7787.135000000002</v>
      </c>
      <c r="I46" s="1">
        <f>'Aug 2022  '!N46</f>
        <v>0</v>
      </c>
      <c r="J46" s="1">
        <v>0</v>
      </c>
      <c r="K46" s="1">
        <f>'Aug 2022  '!K46+'Sep 2022'!J46</f>
        <v>0</v>
      </c>
      <c r="L46" s="1">
        <v>0</v>
      </c>
      <c r="M46" s="1">
        <f>'Aug 2022  '!M46+'Sep 2022'!L46</f>
        <v>0</v>
      </c>
      <c r="N46" s="96">
        <f t="shared" si="1"/>
        <v>0</v>
      </c>
      <c r="O46" s="1">
        <f>'Aug 2022  '!T46</f>
        <v>11.75</v>
      </c>
      <c r="P46" s="1">
        <v>25.43</v>
      </c>
      <c r="Q46" s="1">
        <f>'Aug 2022  '!Q46+'Sep 2022'!P46</f>
        <v>37.18</v>
      </c>
      <c r="R46" s="1">
        <v>0</v>
      </c>
      <c r="S46" s="1">
        <f>'Aug 2022  '!S46+'Sep 2022'!R46</f>
        <v>0</v>
      </c>
      <c r="T46" s="1">
        <f t="shared" si="2"/>
        <v>37.18</v>
      </c>
      <c r="U46" s="1">
        <f t="shared" si="3"/>
        <v>7824.3150000000023</v>
      </c>
    </row>
    <row r="47" spans="1:23" s="7" customFormat="1" ht="38.25" customHeight="1">
      <c r="A47" s="89">
        <v>31</v>
      </c>
      <c r="B47" s="91" t="s">
        <v>52</v>
      </c>
      <c r="C47" s="1">
        <f>'Aug 2022  '!H47</f>
        <v>8918.34</v>
      </c>
      <c r="D47" s="1">
        <v>8.15</v>
      </c>
      <c r="E47" s="1">
        <f>'Aug 2022  '!E47+'Sep 2022'!D47</f>
        <v>141.85000000000002</v>
      </c>
      <c r="F47" s="1">
        <v>0</v>
      </c>
      <c r="G47" s="1">
        <f>'Aug 2022  '!G47+'Sep 2022'!F47</f>
        <v>0</v>
      </c>
      <c r="H47" s="96">
        <f t="shared" si="0"/>
        <v>8926.49</v>
      </c>
      <c r="I47" s="1">
        <f>'Aug 2022  '!N47</f>
        <v>3.13</v>
      </c>
      <c r="J47" s="1">
        <v>0</v>
      </c>
      <c r="K47" s="1">
        <f>'Aug 2022  '!K47+'Sep 2022'!J47</f>
        <v>0</v>
      </c>
      <c r="L47" s="1">
        <v>0</v>
      </c>
      <c r="M47" s="1">
        <f>'Aug 2022  '!M47+'Sep 2022'!L47</f>
        <v>0</v>
      </c>
      <c r="N47" s="96">
        <f t="shared" si="1"/>
        <v>3.13</v>
      </c>
      <c r="O47" s="1">
        <f>'Aug 2022  '!T47</f>
        <v>9.94</v>
      </c>
      <c r="P47" s="1">
        <v>0</v>
      </c>
      <c r="Q47" s="1">
        <f>'Aug 2022  '!Q47+'Sep 2022'!P47</f>
        <v>9.91</v>
      </c>
      <c r="R47" s="1">
        <v>0</v>
      </c>
      <c r="S47" s="1">
        <f>'Aug 2022  '!S47+'Sep 2022'!R47</f>
        <v>0</v>
      </c>
      <c r="T47" s="1">
        <f t="shared" si="2"/>
        <v>9.94</v>
      </c>
      <c r="U47" s="1">
        <f t="shared" si="3"/>
        <v>8939.56</v>
      </c>
    </row>
    <row r="48" spans="1:23" s="7" customFormat="1" ht="38.25" customHeight="1">
      <c r="A48" s="89">
        <v>32</v>
      </c>
      <c r="B48" s="91" t="s">
        <v>53</v>
      </c>
      <c r="C48" s="1">
        <f>'Aug 2022  '!H48</f>
        <v>8572.8490000000002</v>
      </c>
      <c r="D48" s="1">
        <v>4.09</v>
      </c>
      <c r="E48" s="1">
        <f>'Aug 2022  '!E48+'Sep 2022'!D48</f>
        <v>380.15</v>
      </c>
      <c r="F48" s="1">
        <v>0</v>
      </c>
      <c r="G48" s="1">
        <f>'Aug 2022  '!G48+'Sep 2022'!F48</f>
        <v>0</v>
      </c>
      <c r="H48" s="96">
        <f t="shared" si="0"/>
        <v>8576.9390000000003</v>
      </c>
      <c r="I48" s="1">
        <f>'Aug 2022  '!N48</f>
        <v>5.0249999999999995</v>
      </c>
      <c r="J48" s="1">
        <v>0</v>
      </c>
      <c r="K48" s="1">
        <f>'Aug 2022  '!K48+'Sep 2022'!J48</f>
        <v>0</v>
      </c>
      <c r="L48" s="1">
        <v>0</v>
      </c>
      <c r="M48" s="1">
        <f>'Aug 2022  '!M48+'Sep 2022'!L48</f>
        <v>0</v>
      </c>
      <c r="N48" s="96">
        <f t="shared" si="1"/>
        <v>5.0249999999999995</v>
      </c>
      <c r="O48" s="1">
        <f>'Aug 2022  '!T48</f>
        <v>4.21</v>
      </c>
      <c r="P48" s="1">
        <v>0</v>
      </c>
      <c r="Q48" s="1">
        <f>'Aug 2022  '!Q48+'Sep 2022'!P48</f>
        <v>4.21</v>
      </c>
      <c r="R48" s="1">
        <v>0</v>
      </c>
      <c r="S48" s="1">
        <f>'Aug 2022  '!S48+'Sep 2022'!R48</f>
        <v>0</v>
      </c>
      <c r="T48" s="96">
        <f t="shared" si="2"/>
        <v>4.21</v>
      </c>
      <c r="U48" s="1">
        <f t="shared" si="3"/>
        <v>8586.1739999999991</v>
      </c>
    </row>
    <row r="49" spans="1:21" s="7" customFormat="1" ht="38.25" customHeight="1">
      <c r="A49" s="88"/>
      <c r="B49" s="90" t="s">
        <v>54</v>
      </c>
      <c r="C49" s="2">
        <f>SUM(C45:C48)</f>
        <v>33402.186100000006</v>
      </c>
      <c r="D49" s="2">
        <f t="shared" ref="D49:S49" si="14">SUM(D45:D48)</f>
        <v>40.53</v>
      </c>
      <c r="E49" s="2">
        <f t="shared" si="14"/>
        <v>670.81</v>
      </c>
      <c r="F49" s="2">
        <f t="shared" si="14"/>
        <v>0</v>
      </c>
      <c r="G49" s="2">
        <f t="shared" si="14"/>
        <v>0</v>
      </c>
      <c r="H49" s="2">
        <f t="shared" si="0"/>
        <v>33442.716100000005</v>
      </c>
      <c r="I49" s="2">
        <f t="shared" si="14"/>
        <v>115.175</v>
      </c>
      <c r="J49" s="2">
        <f t="shared" si="14"/>
        <v>50.01</v>
      </c>
      <c r="K49" s="2">
        <f t="shared" si="14"/>
        <v>115.10999999999999</v>
      </c>
      <c r="L49" s="2">
        <f t="shared" si="14"/>
        <v>0</v>
      </c>
      <c r="M49" s="2">
        <f t="shared" si="14"/>
        <v>0</v>
      </c>
      <c r="N49" s="2">
        <f t="shared" si="1"/>
        <v>165.185</v>
      </c>
      <c r="O49" s="2">
        <f t="shared" si="14"/>
        <v>54.71</v>
      </c>
      <c r="P49" s="2">
        <f t="shared" si="14"/>
        <v>51.86</v>
      </c>
      <c r="Q49" s="2">
        <f t="shared" si="14"/>
        <v>91.789999999999978</v>
      </c>
      <c r="R49" s="2">
        <f t="shared" si="14"/>
        <v>0</v>
      </c>
      <c r="S49" s="2">
        <f t="shared" si="14"/>
        <v>0</v>
      </c>
      <c r="T49" s="2">
        <f t="shared" si="2"/>
        <v>106.57</v>
      </c>
      <c r="U49" s="2">
        <f t="shared" si="3"/>
        <v>33714.471100000002</v>
      </c>
    </row>
    <row r="50" spans="1:21" s="7" customFormat="1" ht="38.25" customHeight="1">
      <c r="A50" s="88"/>
      <c r="B50" s="90" t="s">
        <v>55</v>
      </c>
      <c r="C50" s="2">
        <f>C49+C44</f>
        <v>70962.92809999999</v>
      </c>
      <c r="D50" s="2">
        <f t="shared" ref="D50:S50" si="15">D49+D44</f>
        <v>217.34</v>
      </c>
      <c r="E50" s="2">
        <f t="shared" si="15"/>
        <v>1746.962</v>
      </c>
      <c r="F50" s="2">
        <f t="shared" si="15"/>
        <v>0</v>
      </c>
      <c r="G50" s="2">
        <f t="shared" si="15"/>
        <v>0</v>
      </c>
      <c r="H50" s="2">
        <f t="shared" si="0"/>
        <v>71180.268099999987</v>
      </c>
      <c r="I50" s="2">
        <f t="shared" si="15"/>
        <v>341.69499999999999</v>
      </c>
      <c r="J50" s="2">
        <f t="shared" si="15"/>
        <v>50.01</v>
      </c>
      <c r="K50" s="2">
        <f t="shared" si="15"/>
        <v>115.10999999999999</v>
      </c>
      <c r="L50" s="2">
        <f t="shared" si="15"/>
        <v>0</v>
      </c>
      <c r="M50" s="2">
        <f t="shared" si="15"/>
        <v>0</v>
      </c>
      <c r="N50" s="2">
        <f t="shared" si="1"/>
        <v>391.70499999999998</v>
      </c>
      <c r="O50" s="2">
        <f t="shared" si="15"/>
        <v>258.31</v>
      </c>
      <c r="P50" s="2">
        <f t="shared" si="15"/>
        <v>51.86</v>
      </c>
      <c r="Q50" s="2">
        <f t="shared" si="15"/>
        <v>256.37</v>
      </c>
      <c r="R50" s="2">
        <f t="shared" si="15"/>
        <v>0</v>
      </c>
      <c r="S50" s="2">
        <f t="shared" si="15"/>
        <v>0</v>
      </c>
      <c r="T50" s="2">
        <f t="shared" si="2"/>
        <v>310.17</v>
      </c>
      <c r="U50" s="2">
        <f t="shared" si="3"/>
        <v>71882.143099999987</v>
      </c>
    </row>
    <row r="51" spans="1:21" s="7" customFormat="1" ht="38.25" customHeight="1">
      <c r="A51" s="88"/>
      <c r="B51" s="90" t="s">
        <v>56</v>
      </c>
      <c r="C51" s="2">
        <f>C50+C39+C25</f>
        <v>117554.45189999999</v>
      </c>
      <c r="D51" s="2">
        <f t="shared" ref="D51:S51" si="16">D50+D39+D25</f>
        <v>337.64600000000002</v>
      </c>
      <c r="E51" s="2">
        <f t="shared" si="16"/>
        <v>2587.1179999999995</v>
      </c>
      <c r="F51" s="2">
        <f t="shared" si="16"/>
        <v>161.56</v>
      </c>
      <c r="G51" s="2">
        <f t="shared" si="16"/>
        <v>269.07000000000005</v>
      </c>
      <c r="H51" s="2">
        <f t="shared" si="0"/>
        <v>117730.53789999998</v>
      </c>
      <c r="I51" s="2">
        <f t="shared" si="16"/>
        <v>9556.7649999999994</v>
      </c>
      <c r="J51" s="2">
        <f t="shared" si="16"/>
        <v>340.75</v>
      </c>
      <c r="K51" s="2">
        <f t="shared" si="16"/>
        <v>1311.241</v>
      </c>
      <c r="L51" s="2">
        <f t="shared" si="16"/>
        <v>0</v>
      </c>
      <c r="M51" s="2">
        <f t="shared" si="16"/>
        <v>7.51</v>
      </c>
      <c r="N51" s="2">
        <f t="shared" si="1"/>
        <v>9897.5149999999994</v>
      </c>
      <c r="O51" s="2">
        <f t="shared" si="16"/>
        <v>1235.78</v>
      </c>
      <c r="P51" s="2">
        <f t="shared" si="16"/>
        <v>52.16</v>
      </c>
      <c r="Q51" s="2">
        <f t="shared" si="16"/>
        <v>382.6</v>
      </c>
      <c r="R51" s="2">
        <f t="shared" si="16"/>
        <v>0</v>
      </c>
      <c r="S51" s="2">
        <f t="shared" si="16"/>
        <v>36.14</v>
      </c>
      <c r="T51" s="2">
        <f t="shared" si="2"/>
        <v>1287.94</v>
      </c>
      <c r="U51" s="2">
        <f t="shared" si="3"/>
        <v>128915.99289999998</v>
      </c>
    </row>
    <row r="52" spans="1:21" s="7" customFormat="1" ht="28.5" customHeight="1">
      <c r="A52" s="18"/>
      <c r="B52" s="27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93"/>
      <c r="J53" s="93">
        <f>D51+J51+P51-F51-L51-R51</f>
        <v>568.99599999999987</v>
      </c>
      <c r="K53" s="93"/>
      <c r="L53" s="93"/>
      <c r="M53" s="93"/>
      <c r="N53" s="93"/>
      <c r="R53" s="93"/>
      <c r="U53" s="93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93"/>
      <c r="J54" s="93">
        <f>E51+K51+Q51-G51-M51-S51</f>
        <v>3968.2389999999996</v>
      </c>
      <c r="K54" s="93"/>
      <c r="L54" s="93"/>
      <c r="M54" s="93"/>
      <c r="N54" s="93"/>
      <c r="R54" s="93"/>
      <c r="T54" s="93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128915.99289999998</v>
      </c>
      <c r="K55" s="4"/>
      <c r="L55" s="4"/>
      <c r="M55" s="78"/>
      <c r="N55" s="4"/>
      <c r="P55" s="18"/>
      <c r="Q55" s="20"/>
      <c r="U55" s="20"/>
    </row>
    <row r="56" spans="1:21" ht="33" customHeight="1">
      <c r="C56" s="21"/>
      <c r="D56" s="93"/>
      <c r="E56" s="93"/>
      <c r="F56" s="93"/>
      <c r="G56" s="93"/>
      <c r="H56" s="4"/>
      <c r="I56" s="19"/>
      <c r="J56" s="93"/>
      <c r="K56" s="4"/>
      <c r="L56" s="61"/>
      <c r="M56" s="4"/>
      <c r="N56" s="11">
        <f>'[1]sep 2020 '!J56+'Sep 2022'!J53</f>
        <v>117319.90689999999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2021'!J55+'Sep 2022'!J53</f>
        <v>120785.51489999999</v>
      </c>
      <c r="N57" s="7"/>
      <c r="O57" s="3"/>
      <c r="P57" s="92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94"/>
      <c r="L58" s="10"/>
      <c r="M58" s="7"/>
      <c r="N58" s="29">
        <f>'[2]July 2021'!J55+'Sep 2022'!J53</f>
        <v>121574.26589999998</v>
      </c>
      <c r="O58" s="29">
        <f>'[2]April 2021'!J55+'Sep 2022'!J53</f>
        <v>120785.51489999999</v>
      </c>
      <c r="P58" s="92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2021'!J55+'Sep 2022'!J53</f>
        <v>120264.70389999999</v>
      </c>
      <c r="J59" s="143" t="s">
        <v>63</v>
      </c>
      <c r="K59" s="143"/>
      <c r="L59" s="143"/>
      <c r="M59" s="11" t="e">
        <f>#REF!+'Sep 2022'!J53</f>
        <v>#REF!</v>
      </c>
      <c r="N59" s="4"/>
    </row>
    <row r="60" spans="1:21" ht="37.5" customHeight="1">
      <c r="G60" s="4"/>
      <c r="H60" s="11">
        <f>H51+N51+T51</f>
        <v>128915.99289999998</v>
      </c>
      <c r="J60" s="143" t="s">
        <v>64</v>
      </c>
      <c r="K60" s="143"/>
      <c r="L60" s="143"/>
      <c r="M60" s="11" t="e">
        <f>#REF!+'Sep 2022'!J53</f>
        <v>#REF!</v>
      </c>
      <c r="O60" s="78">
        <f>'Aug 2022  '!J55+'Sep 2022'!J53</f>
        <v>128752.90289999999</v>
      </c>
    </row>
    <row r="61" spans="1:21">
      <c r="H61" s="23"/>
    </row>
    <row r="62" spans="1:21">
      <c r="G62" s="4"/>
      <c r="H62" s="11">
        <f>'[1]nov 2020'!J56+'Sep 2022'!J53</f>
        <v>119183.84689999999</v>
      </c>
      <c r="I62" s="24"/>
      <c r="J62" s="23"/>
    </row>
    <row r="63" spans="1:21">
      <c r="H63" s="11">
        <f>'[1]nov 2020'!J56+'Sep 2022'!J53</f>
        <v>119183.84689999999</v>
      </c>
      <c r="I63" s="30">
        <f>'[2]June 2021)'!J55+'Sep 2022'!J53</f>
        <v>121245.49490000001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</mergeCells>
  <pageMargins left="0.15748031496062992" right="0.23622047244094491" top="0.27559055118110237" bottom="0.15748031496062992" header="0.19685039370078741" footer="0.15748031496062992"/>
  <pageSetup paperSize="9" scale="2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C40" zoomScale="39" zoomScaleNormal="39" workbookViewId="0">
      <selection activeCell="D29" sqref="D29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04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78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101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100" t="s">
        <v>11</v>
      </c>
      <c r="E6" s="100" t="s">
        <v>12</v>
      </c>
      <c r="F6" s="100" t="s">
        <v>11</v>
      </c>
      <c r="G6" s="100" t="s">
        <v>12</v>
      </c>
      <c r="H6" s="135"/>
      <c r="I6" s="138"/>
      <c r="J6" s="100" t="s">
        <v>11</v>
      </c>
      <c r="K6" s="100" t="s">
        <v>12</v>
      </c>
      <c r="L6" s="100" t="s">
        <v>11</v>
      </c>
      <c r="M6" s="100" t="s">
        <v>12</v>
      </c>
      <c r="N6" s="135"/>
      <c r="O6" s="138"/>
      <c r="P6" s="100" t="s">
        <v>11</v>
      </c>
      <c r="Q6" s="100" t="s">
        <v>12</v>
      </c>
      <c r="R6" s="100" t="s">
        <v>11</v>
      </c>
      <c r="S6" s="100" t="s">
        <v>12</v>
      </c>
      <c r="T6" s="135"/>
      <c r="U6" s="135"/>
    </row>
    <row r="7" spans="1:21" ht="38.25" customHeight="1">
      <c r="A7" s="101">
        <v>1</v>
      </c>
      <c r="B7" s="103" t="s">
        <v>13</v>
      </c>
      <c r="C7" s="1">
        <f>'Sep 2022'!H7</f>
        <v>26.679999999999982</v>
      </c>
      <c r="D7" s="1">
        <v>0</v>
      </c>
      <c r="E7" s="1">
        <f>'Sep 2022'!E7+'Oct 2022'!D7</f>
        <v>0</v>
      </c>
      <c r="F7" s="106">
        <v>13.5</v>
      </c>
      <c r="G7" s="1">
        <f>'Sep 2022'!G7+'Oct 2022'!F7</f>
        <v>76.86</v>
      </c>
      <c r="H7" s="96">
        <f>C7+D7-F7</f>
        <v>13.179999999999982</v>
      </c>
      <c r="I7" s="1">
        <f>'Sep 2022'!N7</f>
        <v>683.38799999999981</v>
      </c>
      <c r="J7" s="1">
        <v>4.2949999999999999</v>
      </c>
      <c r="K7" s="1">
        <f>'Sep 2022'!K7+'Oct 2022'!J7</f>
        <v>103.46599999999999</v>
      </c>
      <c r="L7" s="1">
        <v>0</v>
      </c>
      <c r="M7" s="1">
        <f>'Sep 2022'!M7+'Oct 2022'!L7</f>
        <v>0</v>
      </c>
      <c r="N7" s="96">
        <f>I7+J7-L7</f>
        <v>687.68299999999977</v>
      </c>
      <c r="O7" s="1">
        <f>'Sep 2022'!T7</f>
        <v>8.436000000000007</v>
      </c>
      <c r="P7" s="1">
        <v>0</v>
      </c>
      <c r="Q7" s="1">
        <f>'Sep 2022'!Q7+'Oct 2022'!P7</f>
        <v>0</v>
      </c>
      <c r="R7" s="1">
        <v>0</v>
      </c>
      <c r="S7" s="1">
        <f>'Sep 2022'!S7+'Oct 2022'!R7</f>
        <v>1.01</v>
      </c>
      <c r="T7" s="96">
        <f>O7+P7-R7</f>
        <v>8.436000000000007</v>
      </c>
      <c r="U7" s="96">
        <f>H7+N7+T7</f>
        <v>709.29899999999975</v>
      </c>
    </row>
    <row r="8" spans="1:21" ht="38.25" customHeight="1">
      <c r="A8" s="101">
        <v>2</v>
      </c>
      <c r="B8" s="103" t="s">
        <v>14</v>
      </c>
      <c r="C8" s="1">
        <f>'Sep 2022'!H8</f>
        <v>265.39</v>
      </c>
      <c r="D8" s="1">
        <v>0</v>
      </c>
      <c r="E8" s="1">
        <f>'Sep 2022'!E8+'Oct 2022'!D8</f>
        <v>0</v>
      </c>
      <c r="F8" s="1">
        <v>0</v>
      </c>
      <c r="G8" s="1">
        <f>'Sep 2022'!G8+'Oct 2022'!F8</f>
        <v>0</v>
      </c>
      <c r="H8" s="96">
        <f t="shared" ref="H8:H48" si="0">C8+D8-F8</f>
        <v>265.39</v>
      </c>
      <c r="I8" s="1">
        <f>'Sep 2022'!N8</f>
        <v>340.88500000000005</v>
      </c>
      <c r="J8" s="1">
        <v>11.7</v>
      </c>
      <c r="K8" s="1">
        <f>'Sep 2022'!K8+'Oct 2022'!J8</f>
        <v>40.605000000000004</v>
      </c>
      <c r="L8" s="1">
        <v>0</v>
      </c>
      <c r="M8" s="1">
        <f>'Sep 2022'!M8+'Oct 2022'!L8</f>
        <v>0</v>
      </c>
      <c r="N8" s="96">
        <f t="shared" ref="N8:N48" si="1">I8+J8-L8</f>
        <v>352.58500000000004</v>
      </c>
      <c r="O8" s="1">
        <f>'Sep 2022'!T8</f>
        <v>66.290000000000006</v>
      </c>
      <c r="P8" s="1">
        <v>0</v>
      </c>
      <c r="Q8" s="1">
        <f>'Sep 2022'!Q8+'Oct 2022'!P8</f>
        <v>0</v>
      </c>
      <c r="R8" s="1">
        <v>0</v>
      </c>
      <c r="S8" s="1">
        <f>'Sep 2022'!S8+'Oct 2022'!R8</f>
        <v>0</v>
      </c>
      <c r="T8" s="96">
        <f t="shared" ref="T8:T48" si="2">O8+P8-R8</f>
        <v>66.290000000000006</v>
      </c>
      <c r="U8" s="96">
        <f t="shared" ref="U8:U48" si="3">H8+N8+T8</f>
        <v>684.26499999999999</v>
      </c>
    </row>
    <row r="9" spans="1:21" ht="38.25" customHeight="1">
      <c r="A9" s="101">
        <v>3</v>
      </c>
      <c r="B9" s="103" t="s">
        <v>15</v>
      </c>
      <c r="C9" s="1">
        <f>'Sep 2022'!H9</f>
        <v>209.16</v>
      </c>
      <c r="D9" s="1">
        <v>0</v>
      </c>
      <c r="E9" s="1">
        <f>'Sep 2022'!E9+'Oct 2022'!D9</f>
        <v>0</v>
      </c>
      <c r="F9" s="1">
        <v>0</v>
      </c>
      <c r="G9" s="1">
        <f>'Sep 2022'!G9+'Oct 2022'!F9</f>
        <v>0</v>
      </c>
      <c r="H9" s="96">
        <f t="shared" si="0"/>
        <v>209.16</v>
      </c>
      <c r="I9" s="1">
        <f>'Sep 2022'!N9</f>
        <v>859.30800000000011</v>
      </c>
      <c r="J9" s="1">
        <v>4.3899999999999997</v>
      </c>
      <c r="K9" s="1">
        <f>'Sep 2022'!K9+'Oct 2022'!J9</f>
        <v>107.14999999999999</v>
      </c>
      <c r="L9" s="1">
        <v>0</v>
      </c>
      <c r="M9" s="1">
        <f>'Sep 2022'!M9+'Oct 2022'!L9</f>
        <v>0</v>
      </c>
      <c r="N9" s="96">
        <f t="shared" si="1"/>
        <v>863.69800000000009</v>
      </c>
      <c r="O9" s="1">
        <f>'Sep 2022'!T9</f>
        <v>44.739999999999995</v>
      </c>
      <c r="P9" s="1">
        <v>0</v>
      </c>
      <c r="Q9" s="1">
        <f>'Sep 2022'!Q9+'Oct 2022'!P9</f>
        <v>0</v>
      </c>
      <c r="R9" s="1">
        <v>0</v>
      </c>
      <c r="S9" s="1">
        <f>'Sep 2022'!S9+'Oct 2022'!R9</f>
        <v>0</v>
      </c>
      <c r="T9" s="96">
        <f t="shared" si="2"/>
        <v>44.739999999999995</v>
      </c>
      <c r="U9" s="96">
        <f t="shared" si="3"/>
        <v>1117.5980000000002</v>
      </c>
    </row>
    <row r="10" spans="1:21" s="7" customFormat="1" ht="38.25" customHeight="1">
      <c r="A10" s="101">
        <v>4</v>
      </c>
      <c r="B10" s="103" t="s">
        <v>16</v>
      </c>
      <c r="C10" s="1">
        <f>'Sep 2022'!H10</f>
        <v>0</v>
      </c>
      <c r="D10" s="1">
        <v>0</v>
      </c>
      <c r="E10" s="1">
        <f>'Sep 2022'!E10+'Oct 2022'!D10</f>
        <v>0</v>
      </c>
      <c r="F10" s="1">
        <v>0</v>
      </c>
      <c r="G10" s="1">
        <f>'Sep 2022'!G10+'Oct 2022'!F10</f>
        <v>0</v>
      </c>
      <c r="H10" s="96">
        <f t="shared" si="0"/>
        <v>0</v>
      </c>
      <c r="I10" s="1">
        <f>'Sep 2022'!N10</f>
        <v>349.56999999999994</v>
      </c>
      <c r="J10" s="1">
        <v>0.9</v>
      </c>
      <c r="K10" s="1">
        <f>'Sep 2022'!K10+'Oct 2022'!J10</f>
        <v>8.0950000000000006</v>
      </c>
      <c r="L10" s="1">
        <v>0</v>
      </c>
      <c r="M10" s="1">
        <f>'Sep 2022'!M10+'Oct 2022'!L10</f>
        <v>0</v>
      </c>
      <c r="N10" s="96">
        <f t="shared" si="1"/>
        <v>350.46999999999991</v>
      </c>
      <c r="O10" s="1">
        <f>'Sep 2022'!T10</f>
        <v>0.20000000000000007</v>
      </c>
      <c r="P10" s="1">
        <v>0</v>
      </c>
      <c r="Q10" s="1">
        <f>'Sep 2022'!Q10+'Oct 2022'!P10</f>
        <v>0</v>
      </c>
      <c r="R10" s="1">
        <v>0</v>
      </c>
      <c r="S10" s="1">
        <f>'Sep 2022'!S10+'Oct 2022'!R10</f>
        <v>0</v>
      </c>
      <c r="T10" s="96">
        <f t="shared" si="2"/>
        <v>0.20000000000000007</v>
      </c>
      <c r="U10" s="96">
        <f t="shared" si="3"/>
        <v>350.6699999999999</v>
      </c>
    </row>
    <row r="11" spans="1:21" s="7" customFormat="1" ht="38.25" customHeight="1">
      <c r="A11" s="100"/>
      <c r="B11" s="105" t="s">
        <v>17</v>
      </c>
      <c r="C11" s="2">
        <f>SUM(C7:C10)</f>
        <v>501.23</v>
      </c>
      <c r="D11" s="2">
        <f t="shared" ref="D11:U11" si="4">SUM(D7:D10)</f>
        <v>0</v>
      </c>
      <c r="E11" s="2">
        <f t="shared" si="4"/>
        <v>0</v>
      </c>
      <c r="F11" s="2">
        <f t="shared" si="4"/>
        <v>13.5</v>
      </c>
      <c r="G11" s="2">
        <f t="shared" si="4"/>
        <v>76.86</v>
      </c>
      <c r="H11" s="2">
        <f t="shared" si="4"/>
        <v>487.73</v>
      </c>
      <c r="I11" s="2">
        <f t="shared" si="4"/>
        <v>2233.1509999999998</v>
      </c>
      <c r="J11" s="2">
        <f t="shared" si="4"/>
        <v>21.284999999999997</v>
      </c>
      <c r="K11" s="2">
        <f t="shared" si="4"/>
        <v>259.31600000000003</v>
      </c>
      <c r="L11" s="2">
        <f t="shared" si="4"/>
        <v>0</v>
      </c>
      <c r="M11" s="2">
        <f t="shared" si="4"/>
        <v>0</v>
      </c>
      <c r="N11" s="2">
        <f t="shared" si="4"/>
        <v>2254.4359999999997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2">
        <f t="shared" si="4"/>
        <v>119.66600000000001</v>
      </c>
      <c r="U11" s="2">
        <f t="shared" si="4"/>
        <v>2861.8320000000003</v>
      </c>
    </row>
    <row r="12" spans="1:21" ht="38.25" customHeight="1">
      <c r="A12" s="101">
        <v>5</v>
      </c>
      <c r="B12" s="103" t="s">
        <v>18</v>
      </c>
      <c r="C12" s="1">
        <f>'Sep 2022'!H12</f>
        <v>355.3099999999996</v>
      </c>
      <c r="D12" s="1">
        <v>0</v>
      </c>
      <c r="E12" s="1">
        <f>'Sep 2022'!E12+'Oct 2022'!D12</f>
        <v>0</v>
      </c>
      <c r="F12" s="106">
        <v>135.11000000000001</v>
      </c>
      <c r="G12" s="1">
        <f>'Sep 2022'!G12+'Oct 2022'!F12</f>
        <v>135.11000000000001</v>
      </c>
      <c r="H12" s="96">
        <f t="shared" si="0"/>
        <v>220.19999999999959</v>
      </c>
      <c r="I12" s="1">
        <f>'Sep 2022'!N12</f>
        <v>995.53499999999985</v>
      </c>
      <c r="J12" s="31">
        <v>133.97999999999999</v>
      </c>
      <c r="K12" s="1">
        <f>'Sep 2022'!K12+'Oct 2022'!J12</f>
        <v>218.76999999999998</v>
      </c>
      <c r="L12" s="1">
        <v>0</v>
      </c>
      <c r="M12" s="1">
        <f>'Sep 2022'!M12+'Oct 2022'!L12</f>
        <v>0</v>
      </c>
      <c r="N12" s="96">
        <f t="shared" si="1"/>
        <v>1129.5149999999999</v>
      </c>
      <c r="O12" s="1">
        <f>'Sep 2022'!T12</f>
        <v>36.850000000000009</v>
      </c>
      <c r="P12" s="1">
        <v>0</v>
      </c>
      <c r="Q12" s="1">
        <f>'Sep 2022'!Q12+'Oct 2022'!P12</f>
        <v>0</v>
      </c>
      <c r="R12" s="106">
        <v>11.9</v>
      </c>
      <c r="S12" s="1">
        <f>'Sep 2022'!S12+'Oct 2022'!R12</f>
        <v>11.9</v>
      </c>
      <c r="T12" s="96">
        <f t="shared" si="2"/>
        <v>24.95000000000001</v>
      </c>
      <c r="U12" s="96">
        <f t="shared" si="3"/>
        <v>1374.6649999999995</v>
      </c>
    </row>
    <row r="13" spans="1:21" ht="38.25" customHeight="1">
      <c r="A13" s="101">
        <v>6</v>
      </c>
      <c r="B13" s="103" t="s">
        <v>19</v>
      </c>
      <c r="C13" s="1">
        <f>'Sep 2022'!H13</f>
        <v>312.23000000000013</v>
      </c>
      <c r="D13" s="1">
        <v>0</v>
      </c>
      <c r="E13" s="1">
        <f>'Sep 2022'!E13+'Oct 2022'!D13</f>
        <v>0</v>
      </c>
      <c r="F13" s="1">
        <v>0</v>
      </c>
      <c r="G13" s="1">
        <f>'Sep 2022'!G13+'Oct 2022'!F13</f>
        <v>0</v>
      </c>
      <c r="H13" s="96">
        <f t="shared" si="0"/>
        <v>312.23000000000013</v>
      </c>
      <c r="I13" s="1">
        <f>'Sep 2022'!N13</f>
        <v>533.07200000000012</v>
      </c>
      <c r="J13" s="31">
        <v>1.47</v>
      </c>
      <c r="K13" s="1">
        <f>'Sep 2022'!K13+'Oct 2022'!J13</f>
        <v>6.71</v>
      </c>
      <c r="L13" s="1">
        <v>0</v>
      </c>
      <c r="M13" s="1">
        <f>'Sep 2022'!M13+'Oct 2022'!L13</f>
        <v>0.7</v>
      </c>
      <c r="N13" s="96">
        <f t="shared" si="1"/>
        <v>534.54200000000014</v>
      </c>
      <c r="O13" s="1">
        <f>'Sep 2022'!T13</f>
        <v>68.39</v>
      </c>
      <c r="P13" s="1">
        <v>0</v>
      </c>
      <c r="Q13" s="1">
        <f>'Sep 2022'!Q13+'Oct 2022'!P13</f>
        <v>0</v>
      </c>
      <c r="R13" s="1">
        <v>0</v>
      </c>
      <c r="S13" s="1">
        <f>'Sep 2022'!S13+'Oct 2022'!R13</f>
        <v>0</v>
      </c>
      <c r="T13" s="96">
        <f t="shared" si="2"/>
        <v>68.39</v>
      </c>
      <c r="U13" s="96">
        <f t="shared" si="3"/>
        <v>915.16200000000026</v>
      </c>
    </row>
    <row r="14" spans="1:21" s="7" customFormat="1" ht="38.25" customHeight="1">
      <c r="A14" s="101">
        <v>7</v>
      </c>
      <c r="B14" s="103" t="s">
        <v>20</v>
      </c>
      <c r="C14" s="1">
        <f>'Sep 2022'!H14</f>
        <v>1216.4399999999994</v>
      </c>
      <c r="D14" s="1">
        <v>0</v>
      </c>
      <c r="E14" s="1">
        <f>'Sep 2022'!E14+'Oct 2022'!D14</f>
        <v>0</v>
      </c>
      <c r="F14" s="1">
        <v>0</v>
      </c>
      <c r="G14" s="1">
        <f>'Sep 2022'!G14+'Oct 2022'!F14</f>
        <v>0</v>
      </c>
      <c r="H14" s="96">
        <f t="shared" si="0"/>
        <v>1216.4399999999994</v>
      </c>
      <c r="I14" s="1">
        <f>'Sep 2022'!N14</f>
        <v>881.7080000000002</v>
      </c>
      <c r="J14" s="31">
        <v>4.2300000000000004</v>
      </c>
      <c r="K14" s="1">
        <f>'Sep 2022'!K14+'Oct 2022'!J14</f>
        <v>21.150000000000002</v>
      </c>
      <c r="L14" s="1">
        <v>0</v>
      </c>
      <c r="M14" s="1">
        <f>'Sep 2022'!M14+'Oct 2022'!L14</f>
        <v>0</v>
      </c>
      <c r="N14" s="96">
        <f t="shared" si="1"/>
        <v>885.93800000000022</v>
      </c>
      <c r="O14" s="1">
        <f>'Sep 2022'!T14</f>
        <v>61.329999999999991</v>
      </c>
      <c r="P14" s="1">
        <v>0</v>
      </c>
      <c r="Q14" s="1">
        <f>'Sep 2022'!Q14+'Oct 2022'!P14</f>
        <v>0</v>
      </c>
      <c r="R14" s="1">
        <v>0</v>
      </c>
      <c r="S14" s="1">
        <f>'Sep 2022'!S14+'Oct 2022'!R14</f>
        <v>0</v>
      </c>
      <c r="T14" s="96">
        <f t="shared" si="2"/>
        <v>61.329999999999991</v>
      </c>
      <c r="U14" s="96">
        <f t="shared" si="3"/>
        <v>2163.7079999999996</v>
      </c>
    </row>
    <row r="15" spans="1:21" s="7" customFormat="1" ht="38.25" customHeight="1">
      <c r="A15" s="100"/>
      <c r="B15" s="105" t="s">
        <v>21</v>
      </c>
      <c r="C15" s="2">
        <f>SUM(C12:C14)</f>
        <v>1883.9799999999991</v>
      </c>
      <c r="D15" s="2">
        <f t="shared" ref="D15:U15" si="5">SUM(D12:D14)</f>
        <v>0</v>
      </c>
      <c r="E15" s="2">
        <f t="shared" si="5"/>
        <v>0</v>
      </c>
      <c r="F15" s="2">
        <f t="shared" si="5"/>
        <v>135.11000000000001</v>
      </c>
      <c r="G15" s="2">
        <f t="shared" si="5"/>
        <v>135.11000000000001</v>
      </c>
      <c r="H15" s="2">
        <f t="shared" si="5"/>
        <v>1748.869999999999</v>
      </c>
      <c r="I15" s="2">
        <f t="shared" si="5"/>
        <v>2410.3150000000001</v>
      </c>
      <c r="J15" s="2">
        <f t="shared" si="5"/>
        <v>139.67999999999998</v>
      </c>
      <c r="K15" s="2">
        <f t="shared" si="5"/>
        <v>246.63</v>
      </c>
      <c r="L15" s="2">
        <f t="shared" si="5"/>
        <v>0</v>
      </c>
      <c r="M15" s="2">
        <f t="shared" si="5"/>
        <v>0.7</v>
      </c>
      <c r="N15" s="2">
        <f t="shared" si="5"/>
        <v>2549.9950000000003</v>
      </c>
      <c r="O15" s="2">
        <f t="shared" si="5"/>
        <v>166.57</v>
      </c>
      <c r="P15" s="2">
        <f t="shared" si="5"/>
        <v>0</v>
      </c>
      <c r="Q15" s="2">
        <f t="shared" si="5"/>
        <v>0</v>
      </c>
      <c r="R15" s="2">
        <f t="shared" si="5"/>
        <v>11.9</v>
      </c>
      <c r="S15" s="2">
        <f t="shared" si="5"/>
        <v>11.9</v>
      </c>
      <c r="T15" s="2">
        <f t="shared" si="5"/>
        <v>154.66999999999999</v>
      </c>
      <c r="U15" s="2">
        <f t="shared" si="5"/>
        <v>4453.5349999999999</v>
      </c>
    </row>
    <row r="16" spans="1:21" s="16" customFormat="1" ht="38.25" customHeight="1">
      <c r="A16" s="101">
        <v>8</v>
      </c>
      <c r="B16" s="103" t="s">
        <v>22</v>
      </c>
      <c r="C16" s="1">
        <f>'Sep 2022'!H16</f>
        <v>829.9440000000003</v>
      </c>
      <c r="D16" s="1">
        <v>1.32</v>
      </c>
      <c r="E16" s="1">
        <f>'Sep 2022'!E16+'Oct 2022'!D16</f>
        <v>4.76</v>
      </c>
      <c r="F16" s="1">
        <v>35.76</v>
      </c>
      <c r="G16" s="1">
        <f>'Sep 2022'!G16+'Oct 2022'!F16</f>
        <v>203.1</v>
      </c>
      <c r="H16" s="96">
        <f t="shared" si="0"/>
        <v>795.50400000000036</v>
      </c>
      <c r="I16" s="1">
        <f>'Sep 2022'!N16</f>
        <v>567.11599999999999</v>
      </c>
      <c r="J16" s="1">
        <v>0.95</v>
      </c>
      <c r="K16" s="1">
        <f>'Sep 2022'!K16+'Oct 2022'!J16</f>
        <v>269.02</v>
      </c>
      <c r="L16" s="1">
        <v>0</v>
      </c>
      <c r="M16" s="1">
        <f>'Sep 2022'!M16+'Oct 2022'!L16</f>
        <v>0</v>
      </c>
      <c r="N16" s="96">
        <f t="shared" si="1"/>
        <v>568.06600000000003</v>
      </c>
      <c r="O16" s="1">
        <f>'Sep 2022'!T16</f>
        <v>177.41200000000003</v>
      </c>
      <c r="P16" s="1">
        <v>0</v>
      </c>
      <c r="Q16" s="1">
        <f>'Sep 2022'!Q16+'Oct 2022'!P16</f>
        <v>0</v>
      </c>
      <c r="R16" s="1">
        <v>0</v>
      </c>
      <c r="S16" s="1">
        <f>'Sep 2022'!S16+'Oct 2022'!R16</f>
        <v>0</v>
      </c>
      <c r="T16" s="96">
        <f t="shared" si="2"/>
        <v>177.41200000000003</v>
      </c>
      <c r="U16" s="96">
        <f t="shared" si="3"/>
        <v>1540.9820000000004</v>
      </c>
    </row>
    <row r="17" spans="1:23" ht="61.5" customHeight="1">
      <c r="A17" s="17">
        <v>9</v>
      </c>
      <c r="B17" s="26" t="s">
        <v>23</v>
      </c>
      <c r="C17" s="1">
        <f>'Sep 2022'!H17</f>
        <v>2.6759999999999478</v>
      </c>
      <c r="D17" s="1">
        <v>0</v>
      </c>
      <c r="E17" s="1">
        <f>'Sep 2022'!E17+'Oct 2022'!D17</f>
        <v>0</v>
      </c>
      <c r="F17" s="1">
        <v>0</v>
      </c>
      <c r="G17" s="1">
        <f>'Sep 2022'!G17+'Oct 2022'!F17</f>
        <v>3.74</v>
      </c>
      <c r="H17" s="96">
        <f t="shared" si="0"/>
        <v>2.6759999999999478</v>
      </c>
      <c r="I17" s="1">
        <f>'Sep 2022'!N17</f>
        <v>570.63</v>
      </c>
      <c r="J17" s="1">
        <v>1.73</v>
      </c>
      <c r="K17" s="1">
        <f>'Sep 2022'!K17+'Oct 2022'!J17</f>
        <v>60.61</v>
      </c>
      <c r="L17" s="1">
        <v>0</v>
      </c>
      <c r="M17" s="1">
        <f>'Sep 2022'!M17+'Oct 2022'!L17</f>
        <v>0</v>
      </c>
      <c r="N17" s="96">
        <f t="shared" si="1"/>
        <v>572.36</v>
      </c>
      <c r="O17" s="1">
        <f>'Sep 2022'!T17</f>
        <v>1.9700000000000002</v>
      </c>
      <c r="P17" s="1">
        <v>0</v>
      </c>
      <c r="Q17" s="1">
        <f>'Sep 2022'!Q17+'Oct 2022'!P17</f>
        <v>1.3399999999999999</v>
      </c>
      <c r="R17" s="1">
        <v>0</v>
      </c>
      <c r="S17" s="1">
        <f>'Sep 2022'!S17+'Oct 2022'!R17</f>
        <v>5.7</v>
      </c>
      <c r="T17" s="96">
        <f t="shared" si="2"/>
        <v>1.9700000000000002</v>
      </c>
      <c r="U17" s="96">
        <f t="shared" si="3"/>
        <v>577.00599999999997</v>
      </c>
    </row>
    <row r="18" spans="1:23" s="7" customFormat="1" ht="38.25" customHeight="1">
      <c r="A18" s="101">
        <v>10</v>
      </c>
      <c r="B18" s="103" t="s">
        <v>24</v>
      </c>
      <c r="C18" s="1">
        <f>'Sep 2022'!H18</f>
        <v>136.7660000000001</v>
      </c>
      <c r="D18" s="1">
        <v>0.11</v>
      </c>
      <c r="E18" s="1">
        <f>'Sep 2022'!E18+'Oct 2022'!D18</f>
        <v>1.1000000000000001</v>
      </c>
      <c r="F18" s="1">
        <v>0</v>
      </c>
      <c r="G18" s="1">
        <f>'Sep 2022'!G18+'Oct 2022'!F18</f>
        <v>0</v>
      </c>
      <c r="H18" s="96">
        <f t="shared" si="0"/>
        <v>136.87600000000012</v>
      </c>
      <c r="I18" s="1">
        <f>'Sep 2022'!N18</f>
        <v>492.03699999999998</v>
      </c>
      <c r="J18" s="1">
        <v>1.04</v>
      </c>
      <c r="K18" s="1">
        <f>'Sep 2022'!K18+'Oct 2022'!J18</f>
        <v>6.0100000000000007</v>
      </c>
      <c r="L18" s="1">
        <v>0</v>
      </c>
      <c r="M18" s="1">
        <f>'Sep 2022'!M18+'Oct 2022'!L18</f>
        <v>0</v>
      </c>
      <c r="N18" s="96">
        <f t="shared" si="1"/>
        <v>493.077</v>
      </c>
      <c r="O18" s="1">
        <f>'Sep 2022'!T18</f>
        <v>39.169999999999995</v>
      </c>
      <c r="P18" s="1">
        <v>0.3</v>
      </c>
      <c r="Q18" s="1">
        <f>'Sep 2022'!Q18+'Oct 2022'!P18</f>
        <v>0.6</v>
      </c>
      <c r="R18" s="1">
        <v>0</v>
      </c>
      <c r="S18" s="1">
        <f>'Sep 2022'!S18+'Oct 2022'!R18</f>
        <v>0</v>
      </c>
      <c r="T18" s="96">
        <f t="shared" si="2"/>
        <v>39.469999999999992</v>
      </c>
      <c r="U18" s="96">
        <f t="shared" si="3"/>
        <v>669.42300000000012</v>
      </c>
    </row>
    <row r="19" spans="1:23" s="7" customFormat="1" ht="38.25" customHeight="1">
      <c r="A19" s="100"/>
      <c r="B19" s="105" t="s">
        <v>25</v>
      </c>
      <c r="C19" s="2">
        <f>SUM(C16:C18)</f>
        <v>969.38600000000031</v>
      </c>
      <c r="D19" s="2">
        <f t="shared" ref="D19:U19" si="6">SUM(D16:D18)</f>
        <v>1.4300000000000002</v>
      </c>
      <c r="E19" s="2">
        <f t="shared" si="6"/>
        <v>5.8599999999999994</v>
      </c>
      <c r="F19" s="2">
        <f t="shared" si="6"/>
        <v>35.76</v>
      </c>
      <c r="G19" s="2">
        <f t="shared" si="6"/>
        <v>206.84</v>
      </c>
      <c r="H19" s="2">
        <f t="shared" si="6"/>
        <v>935.05600000000038</v>
      </c>
      <c r="I19" s="2">
        <f t="shared" si="6"/>
        <v>1629.7830000000001</v>
      </c>
      <c r="J19" s="2">
        <f t="shared" si="6"/>
        <v>3.7199999999999998</v>
      </c>
      <c r="K19" s="2">
        <f t="shared" si="6"/>
        <v>335.64</v>
      </c>
      <c r="L19" s="2">
        <f t="shared" si="6"/>
        <v>0</v>
      </c>
      <c r="M19" s="2">
        <f t="shared" si="6"/>
        <v>0</v>
      </c>
      <c r="N19" s="2">
        <f t="shared" si="6"/>
        <v>1633.5029999999999</v>
      </c>
      <c r="O19" s="2">
        <f t="shared" si="6"/>
        <v>218.55200000000002</v>
      </c>
      <c r="P19" s="2">
        <f t="shared" si="6"/>
        <v>0.3</v>
      </c>
      <c r="Q19" s="2">
        <f t="shared" si="6"/>
        <v>1.94</v>
      </c>
      <c r="R19" s="2">
        <f t="shared" si="6"/>
        <v>0</v>
      </c>
      <c r="S19" s="2">
        <f t="shared" si="6"/>
        <v>5.7</v>
      </c>
      <c r="T19" s="2">
        <f t="shared" si="6"/>
        <v>218.85200000000003</v>
      </c>
      <c r="U19" s="2">
        <f t="shared" si="6"/>
        <v>2787.4110000000005</v>
      </c>
    </row>
    <row r="20" spans="1:23" ht="38.25" customHeight="1">
      <c r="A20" s="101">
        <v>11</v>
      </c>
      <c r="B20" s="103" t="s">
        <v>26</v>
      </c>
      <c r="C20" s="1">
        <f>'Sep 2022'!H20</f>
        <v>607.27999999999986</v>
      </c>
      <c r="D20" s="1">
        <v>0</v>
      </c>
      <c r="E20" s="1">
        <f>'Sep 2022'!E20+'Oct 2022'!D20</f>
        <v>1.62</v>
      </c>
      <c r="F20" s="1">
        <v>0</v>
      </c>
      <c r="G20" s="1">
        <f>'Sep 2022'!G20+'Oct 2022'!F20</f>
        <v>24.91</v>
      </c>
      <c r="H20" s="96">
        <f t="shared" si="0"/>
        <v>607.27999999999986</v>
      </c>
      <c r="I20" s="1">
        <f>'Sep 2022'!N20</f>
        <v>724.46800000000019</v>
      </c>
      <c r="J20" s="1">
        <v>1.6</v>
      </c>
      <c r="K20" s="1">
        <f>'Sep 2022'!K20+'Oct 2022'!J20</f>
        <v>327.92</v>
      </c>
      <c r="L20" s="1">
        <v>0</v>
      </c>
      <c r="M20" s="1">
        <f>'Sep 2022'!M20+'Oct 2022'!L20</f>
        <v>1.04</v>
      </c>
      <c r="N20" s="96">
        <f t="shared" si="1"/>
        <v>726.06800000000021</v>
      </c>
      <c r="O20" s="1">
        <f>'Sep 2022'!T20</f>
        <v>37.580000000000005</v>
      </c>
      <c r="P20" s="1">
        <v>0</v>
      </c>
      <c r="Q20" s="1">
        <f>'Sep 2022'!Q20+'Oct 2022'!P20</f>
        <v>0</v>
      </c>
      <c r="R20" s="1">
        <v>0</v>
      </c>
      <c r="S20" s="1">
        <f>'Sep 2022'!S20+'Oct 2022'!R20</f>
        <v>2.77</v>
      </c>
      <c r="T20" s="96">
        <f t="shared" si="2"/>
        <v>37.580000000000005</v>
      </c>
      <c r="U20" s="96">
        <f t="shared" si="3"/>
        <v>1370.9279999999999</v>
      </c>
      <c r="W20" s="145"/>
    </row>
    <row r="21" spans="1:23" ht="38.25" customHeight="1">
      <c r="A21" s="101">
        <v>12</v>
      </c>
      <c r="B21" s="103" t="s">
        <v>27</v>
      </c>
      <c r="C21" s="1">
        <f>'Sep 2022'!H21</f>
        <v>22.51</v>
      </c>
      <c r="D21" s="1">
        <v>0</v>
      </c>
      <c r="E21" s="1">
        <f>'Sep 2022'!E21+'Oct 2022'!D21</f>
        <v>0</v>
      </c>
      <c r="F21" s="1">
        <v>0</v>
      </c>
      <c r="G21" s="1">
        <f>'Sep 2022'!G21+'Oct 2022'!F21</f>
        <v>0</v>
      </c>
      <c r="H21" s="96">
        <f t="shared" si="0"/>
        <v>22.51</v>
      </c>
      <c r="I21" s="1">
        <f>'Sep 2022'!N21</f>
        <v>419.00700000000006</v>
      </c>
      <c r="J21" s="1">
        <v>1.62</v>
      </c>
      <c r="K21" s="1">
        <f>'Sep 2022'!K21+'Oct 2022'!J21</f>
        <v>22.51</v>
      </c>
      <c r="L21" s="1">
        <v>0</v>
      </c>
      <c r="M21" s="1">
        <f>'Sep 2022'!M21+'Oct 2022'!L21</f>
        <v>0</v>
      </c>
      <c r="N21" s="96">
        <f t="shared" si="1"/>
        <v>420.62700000000007</v>
      </c>
      <c r="O21" s="1">
        <f>'Sep 2022'!T21</f>
        <v>19.489999999999998</v>
      </c>
      <c r="P21" s="1">
        <v>0</v>
      </c>
      <c r="Q21" s="1">
        <f>'Sep 2022'!Q21+'Oct 2022'!P21</f>
        <v>0.12</v>
      </c>
      <c r="R21" s="1">
        <v>0</v>
      </c>
      <c r="S21" s="1">
        <f>'Sep 2022'!S21+'Oct 2022'!R21</f>
        <v>0</v>
      </c>
      <c r="T21" s="96">
        <f t="shared" si="2"/>
        <v>19.489999999999998</v>
      </c>
      <c r="U21" s="96">
        <f t="shared" si="3"/>
        <v>462.62700000000007</v>
      </c>
      <c r="W21" s="145"/>
    </row>
    <row r="22" spans="1:23" s="7" customFormat="1" ht="38.25" customHeight="1">
      <c r="A22" s="101">
        <v>13</v>
      </c>
      <c r="B22" s="103" t="s">
        <v>28</v>
      </c>
      <c r="C22" s="1">
        <f>'Sep 2022'!H22</f>
        <v>22.430000000000021</v>
      </c>
      <c r="D22" s="1">
        <v>0</v>
      </c>
      <c r="E22" s="1">
        <f>'Sep 2022'!E22+'Oct 2022'!D22</f>
        <v>0</v>
      </c>
      <c r="F22" s="1">
        <v>0</v>
      </c>
      <c r="G22" s="1">
        <f>'Sep 2022'!G22+'Oct 2022'!F22</f>
        <v>0</v>
      </c>
      <c r="H22" s="96">
        <f t="shared" si="0"/>
        <v>22.430000000000021</v>
      </c>
      <c r="I22" s="1">
        <f>'Sep 2022'!N22</f>
        <v>694.32</v>
      </c>
      <c r="J22" s="1">
        <v>0.83</v>
      </c>
      <c r="K22" s="1">
        <f>'Sep 2022'!K22+'Oct 2022'!J22</f>
        <v>6.26</v>
      </c>
      <c r="L22" s="1">
        <v>0</v>
      </c>
      <c r="M22" s="1">
        <f>'Sep 2022'!M22+'Oct 2022'!L22</f>
        <v>0.08</v>
      </c>
      <c r="N22" s="96">
        <f t="shared" si="1"/>
        <v>695.15000000000009</v>
      </c>
      <c r="O22" s="1">
        <f>'Sep 2022'!T22</f>
        <v>0.60000000000000098</v>
      </c>
      <c r="P22" s="1">
        <v>0</v>
      </c>
      <c r="Q22" s="1">
        <f>'Sep 2022'!Q22+'Oct 2022'!P22</f>
        <v>0</v>
      </c>
      <c r="R22" s="1">
        <v>0</v>
      </c>
      <c r="S22" s="1">
        <f>'Sep 2022'!S22+'Oct 2022'!R22</f>
        <v>0</v>
      </c>
      <c r="T22" s="96">
        <f t="shared" si="2"/>
        <v>0.60000000000000098</v>
      </c>
      <c r="U22" s="96">
        <f t="shared" si="3"/>
        <v>718.18000000000018</v>
      </c>
      <c r="W22" s="145"/>
    </row>
    <row r="23" spans="1:23" s="7" customFormat="1" ht="38.25" customHeight="1">
      <c r="A23" s="101">
        <v>14</v>
      </c>
      <c r="B23" s="103" t="s">
        <v>29</v>
      </c>
      <c r="C23" s="1">
        <f>'Sep 2022'!H23</f>
        <v>430.64</v>
      </c>
      <c r="D23" s="1">
        <v>0</v>
      </c>
      <c r="E23" s="1">
        <f>'Sep 2022'!E23+'Oct 2022'!D23</f>
        <v>3.4</v>
      </c>
      <c r="F23" s="1">
        <v>0</v>
      </c>
      <c r="G23" s="1">
        <f>'Sep 2022'!G23+'Oct 2022'!F23</f>
        <v>0</v>
      </c>
      <c r="H23" s="96">
        <f t="shared" si="0"/>
        <v>430.64</v>
      </c>
      <c r="I23" s="1">
        <f>'Sep 2022'!N23</f>
        <v>122.375</v>
      </c>
      <c r="J23" s="1">
        <v>1.26</v>
      </c>
      <c r="K23" s="1">
        <f>'Sep 2022'!K23+'Oct 2022'!J23</f>
        <v>21.75</v>
      </c>
      <c r="L23" s="1">
        <v>0</v>
      </c>
      <c r="M23" s="1">
        <f>'Sep 2022'!M23+'Oct 2022'!L23</f>
        <v>0</v>
      </c>
      <c r="N23" s="96">
        <f t="shared" si="1"/>
        <v>123.63500000000001</v>
      </c>
      <c r="O23" s="1">
        <f>'Sep 2022'!T23</f>
        <v>22.5</v>
      </c>
      <c r="P23" s="1">
        <v>0</v>
      </c>
      <c r="Q23" s="1">
        <f>'Sep 2022'!Q23+'Oct 2022'!P23</f>
        <v>0</v>
      </c>
      <c r="R23" s="1">
        <v>0</v>
      </c>
      <c r="S23" s="1">
        <f>'Sep 2022'!S23+'Oct 2022'!R23</f>
        <v>0</v>
      </c>
      <c r="T23" s="96">
        <f t="shared" si="2"/>
        <v>22.5</v>
      </c>
      <c r="U23" s="96">
        <f t="shared" si="3"/>
        <v>576.77499999999998</v>
      </c>
      <c r="W23" s="145"/>
    </row>
    <row r="24" spans="1:23" s="7" customFormat="1" ht="38.25" customHeight="1">
      <c r="A24" s="100"/>
      <c r="B24" s="105" t="s">
        <v>30</v>
      </c>
      <c r="C24" s="2">
        <f>SUM(C20:C23)</f>
        <v>1082.8599999999999</v>
      </c>
      <c r="D24" s="2">
        <f t="shared" ref="D24:U24" si="7">SUM(D20:D23)</f>
        <v>0</v>
      </c>
      <c r="E24" s="2">
        <f t="shared" si="7"/>
        <v>5.0199999999999996</v>
      </c>
      <c r="F24" s="2">
        <f t="shared" si="7"/>
        <v>0</v>
      </c>
      <c r="G24" s="2">
        <f t="shared" si="7"/>
        <v>24.91</v>
      </c>
      <c r="H24" s="107">
        <f t="shared" si="7"/>
        <v>1082.8599999999999</v>
      </c>
      <c r="I24" s="2">
        <f t="shared" si="7"/>
        <v>1960.1700000000005</v>
      </c>
      <c r="J24" s="2">
        <f t="shared" si="7"/>
        <v>5.31</v>
      </c>
      <c r="K24" s="2">
        <f t="shared" si="7"/>
        <v>378.44</v>
      </c>
      <c r="L24" s="2">
        <f t="shared" si="7"/>
        <v>0</v>
      </c>
      <c r="M24" s="2">
        <f t="shared" si="7"/>
        <v>1.1200000000000001</v>
      </c>
      <c r="N24" s="107">
        <f t="shared" si="7"/>
        <v>1965.4800000000002</v>
      </c>
      <c r="O24" s="2">
        <f t="shared" si="7"/>
        <v>80.170000000000016</v>
      </c>
      <c r="P24" s="2">
        <f t="shared" si="7"/>
        <v>0</v>
      </c>
      <c r="Q24" s="2">
        <f t="shared" si="7"/>
        <v>0.12</v>
      </c>
      <c r="R24" s="2">
        <f t="shared" si="7"/>
        <v>0</v>
      </c>
      <c r="S24" s="2">
        <f t="shared" si="7"/>
        <v>2.77</v>
      </c>
      <c r="T24" s="107">
        <f t="shared" si="7"/>
        <v>80.170000000000016</v>
      </c>
      <c r="U24" s="107">
        <f t="shared" si="7"/>
        <v>3128.51</v>
      </c>
    </row>
    <row r="25" spans="1:23" s="7" customFormat="1" ht="38.25" customHeight="1">
      <c r="A25" s="100"/>
      <c r="B25" s="102" t="s">
        <v>31</v>
      </c>
      <c r="C25" s="2">
        <f>C24+C19+C15+C11</f>
        <v>4437.4559999999992</v>
      </c>
      <c r="D25" s="2">
        <f t="shared" ref="D25:U25" si="8">D24+D19+D15+D11</f>
        <v>1.4300000000000002</v>
      </c>
      <c r="E25" s="2">
        <f t="shared" si="8"/>
        <v>10.879999999999999</v>
      </c>
      <c r="F25" s="2">
        <f t="shared" si="8"/>
        <v>184.37</v>
      </c>
      <c r="G25" s="2">
        <f t="shared" si="8"/>
        <v>443.72</v>
      </c>
      <c r="H25" s="2">
        <f t="shared" si="8"/>
        <v>4254.5159999999996</v>
      </c>
      <c r="I25" s="2">
        <f t="shared" si="8"/>
        <v>8233.4189999999999</v>
      </c>
      <c r="J25" s="2">
        <f t="shared" si="8"/>
        <v>169.99499999999998</v>
      </c>
      <c r="K25" s="2">
        <f t="shared" si="8"/>
        <v>1220.0259999999998</v>
      </c>
      <c r="L25" s="2">
        <f t="shared" si="8"/>
        <v>0</v>
      </c>
      <c r="M25" s="2">
        <f t="shared" si="8"/>
        <v>1.82</v>
      </c>
      <c r="N25" s="2">
        <f t="shared" si="8"/>
        <v>8403.4140000000007</v>
      </c>
      <c r="O25" s="2">
        <f t="shared" si="8"/>
        <v>584.95800000000008</v>
      </c>
      <c r="P25" s="2">
        <f t="shared" si="8"/>
        <v>0.3</v>
      </c>
      <c r="Q25" s="2">
        <f t="shared" si="8"/>
        <v>2.06</v>
      </c>
      <c r="R25" s="2">
        <f t="shared" si="8"/>
        <v>11.9</v>
      </c>
      <c r="S25" s="2">
        <f t="shared" si="8"/>
        <v>21.380000000000003</v>
      </c>
      <c r="T25" s="2">
        <f t="shared" si="8"/>
        <v>573.35800000000006</v>
      </c>
      <c r="U25" s="2">
        <f t="shared" si="8"/>
        <v>13231.288</v>
      </c>
    </row>
    <row r="26" spans="1:23" ht="38.25" customHeight="1">
      <c r="A26" s="101">
        <v>15</v>
      </c>
      <c r="B26" s="103" t="s">
        <v>32</v>
      </c>
      <c r="C26" s="1">
        <f>'Sep 2022'!H26</f>
        <v>1589.86</v>
      </c>
      <c r="D26" s="1">
        <v>2.4</v>
      </c>
      <c r="E26" s="1">
        <f>'Sep 2022'!E26+'Oct 2022'!D26</f>
        <v>39.279999999999994</v>
      </c>
      <c r="F26" s="1">
        <v>0</v>
      </c>
      <c r="G26" s="1">
        <f>'Sep 2022'!G26+'Oct 2022'!F26</f>
        <v>0</v>
      </c>
      <c r="H26" s="96">
        <f t="shared" si="0"/>
        <v>1592.26</v>
      </c>
      <c r="I26" s="1">
        <f>'Sep 2022'!N26</f>
        <v>68.03</v>
      </c>
      <c r="J26" s="1">
        <v>0.32</v>
      </c>
      <c r="K26" s="1">
        <f>'Sep 2022'!K26+'Oct 2022'!J26</f>
        <v>1.02</v>
      </c>
      <c r="L26" s="1">
        <v>0</v>
      </c>
      <c r="M26" s="1">
        <f>'Sep 2022'!M26+'Oct 2022'!L26</f>
        <v>0</v>
      </c>
      <c r="N26" s="96">
        <f t="shared" si="1"/>
        <v>68.349999999999994</v>
      </c>
      <c r="O26" s="1">
        <f>'Sep 2022'!T26</f>
        <v>16.11</v>
      </c>
      <c r="P26" s="1">
        <v>0</v>
      </c>
      <c r="Q26" s="1">
        <f>'Sep 2022'!Q26+'Oct 2022'!P26</f>
        <v>0</v>
      </c>
      <c r="R26" s="1">
        <v>0</v>
      </c>
      <c r="S26" s="1">
        <f>'Sep 2022'!S26+'Oct 2022'!R26</f>
        <v>0</v>
      </c>
      <c r="T26" s="96">
        <f t="shared" si="2"/>
        <v>16.11</v>
      </c>
      <c r="U26" s="96">
        <f t="shared" si="3"/>
        <v>1676.7199999999998</v>
      </c>
    </row>
    <row r="27" spans="1:23" s="7" customFormat="1" ht="38.25" customHeight="1">
      <c r="A27" s="101">
        <v>16</v>
      </c>
      <c r="B27" s="103" t="s">
        <v>33</v>
      </c>
      <c r="C27" s="1">
        <f>'Sep 2022'!H27</f>
        <v>5649.4450000000033</v>
      </c>
      <c r="D27" s="1">
        <v>9.31</v>
      </c>
      <c r="E27" s="1">
        <f>'Sep 2022'!E27+'Oct 2022'!D27</f>
        <v>82.05</v>
      </c>
      <c r="F27" s="1">
        <v>0</v>
      </c>
      <c r="G27" s="1">
        <f>'Sep 2022'!G27+'Oct 2022'!F27</f>
        <v>0</v>
      </c>
      <c r="H27" s="96">
        <f t="shared" si="0"/>
        <v>5658.7550000000037</v>
      </c>
      <c r="I27" s="1">
        <f>'Sep 2022'!N27</f>
        <v>603.12799999999993</v>
      </c>
      <c r="J27" s="1">
        <v>1.64</v>
      </c>
      <c r="K27" s="1">
        <f>'Sep 2022'!K27+'Oct 2022'!J27</f>
        <v>10.580000000000002</v>
      </c>
      <c r="L27" s="1">
        <v>0</v>
      </c>
      <c r="M27" s="1">
        <f>'Sep 2022'!M27+'Oct 2022'!L27</f>
        <v>0</v>
      </c>
      <c r="N27" s="96">
        <f t="shared" si="1"/>
        <v>604.76799999999992</v>
      </c>
      <c r="O27" s="1">
        <f>'Sep 2022'!T27</f>
        <v>33.590000000000003</v>
      </c>
      <c r="P27" s="1">
        <v>0</v>
      </c>
      <c r="Q27" s="1">
        <f>'Sep 2022'!Q27+'Oct 2022'!P27</f>
        <v>0.1</v>
      </c>
      <c r="R27" s="1">
        <v>0</v>
      </c>
      <c r="S27" s="1">
        <f>'Sep 2022'!S27+'Oct 2022'!R27</f>
        <v>0</v>
      </c>
      <c r="T27" s="96">
        <f t="shared" si="2"/>
        <v>33.590000000000003</v>
      </c>
      <c r="U27" s="96">
        <f t="shared" si="3"/>
        <v>6297.1130000000039</v>
      </c>
    </row>
    <row r="28" spans="1:23" s="7" customFormat="1" ht="38.25" customHeight="1">
      <c r="A28" s="100"/>
      <c r="B28" s="102" t="s">
        <v>34</v>
      </c>
      <c r="C28" s="2">
        <f>SUM(C26:C27)</f>
        <v>7239.305000000003</v>
      </c>
      <c r="D28" s="2">
        <f t="shared" ref="D28:U28" si="9">SUM(D26:D27)</f>
        <v>11.71</v>
      </c>
      <c r="E28" s="2">
        <f t="shared" si="9"/>
        <v>121.32999999999998</v>
      </c>
      <c r="F28" s="2">
        <f t="shared" si="9"/>
        <v>0</v>
      </c>
      <c r="G28" s="2">
        <f t="shared" si="9"/>
        <v>0</v>
      </c>
      <c r="H28" s="107">
        <f t="shared" si="9"/>
        <v>7251.015000000004</v>
      </c>
      <c r="I28" s="2">
        <f t="shared" si="9"/>
        <v>671.1579999999999</v>
      </c>
      <c r="J28" s="2">
        <f t="shared" si="9"/>
        <v>1.96</v>
      </c>
      <c r="K28" s="2">
        <f t="shared" si="9"/>
        <v>11.600000000000001</v>
      </c>
      <c r="L28" s="2">
        <f t="shared" si="9"/>
        <v>0</v>
      </c>
      <c r="M28" s="2">
        <f t="shared" si="9"/>
        <v>0</v>
      </c>
      <c r="N28" s="107">
        <f t="shared" si="9"/>
        <v>673.11799999999994</v>
      </c>
      <c r="O28" s="2">
        <f t="shared" si="9"/>
        <v>49.7</v>
      </c>
      <c r="P28" s="2">
        <f t="shared" si="9"/>
        <v>0</v>
      </c>
      <c r="Q28" s="2">
        <f t="shared" si="9"/>
        <v>0.1</v>
      </c>
      <c r="R28" s="2">
        <f t="shared" si="9"/>
        <v>0</v>
      </c>
      <c r="S28" s="2">
        <f t="shared" si="9"/>
        <v>0</v>
      </c>
      <c r="T28" s="107">
        <f t="shared" si="9"/>
        <v>49.7</v>
      </c>
      <c r="U28" s="107">
        <f t="shared" si="9"/>
        <v>7973.8330000000042</v>
      </c>
    </row>
    <row r="29" spans="1:23" ht="38.25" customHeight="1">
      <c r="A29" s="101">
        <v>17</v>
      </c>
      <c r="B29" s="103" t="s">
        <v>35</v>
      </c>
      <c r="C29" s="1">
        <f>'Sep 2022'!H29</f>
        <v>4716.1980000000012</v>
      </c>
      <c r="D29" s="96">
        <f>13.32+44.75</f>
        <v>58.07</v>
      </c>
      <c r="E29" s="1">
        <f>'Sep 2022'!E29+'Oct 2022'!D29</f>
        <v>120.8</v>
      </c>
      <c r="F29" s="1">
        <v>0</v>
      </c>
      <c r="G29" s="1">
        <f>'Sep 2022'!G29+'Oct 2022'!F29</f>
        <v>0</v>
      </c>
      <c r="H29" s="1">
        <f t="shared" si="0"/>
        <v>4774.2680000000009</v>
      </c>
      <c r="I29" s="1">
        <f>'Sep 2022'!N29</f>
        <v>119.91000000000001</v>
      </c>
      <c r="J29" s="1">
        <v>0.93</v>
      </c>
      <c r="K29" s="1">
        <f>'Sep 2022'!K29+'Oct 2022'!J29</f>
        <v>1.4500000000000002</v>
      </c>
      <c r="L29" s="1">
        <v>0</v>
      </c>
      <c r="M29" s="1">
        <f>'Sep 2022'!M29+'Oct 2022'!L29</f>
        <v>0</v>
      </c>
      <c r="N29" s="96">
        <f t="shared" si="1"/>
        <v>120.84000000000002</v>
      </c>
      <c r="O29" s="1">
        <f>'Sep 2022'!T29</f>
        <v>34.52000000000001</v>
      </c>
      <c r="P29" s="1">
        <v>0</v>
      </c>
      <c r="Q29" s="1">
        <f>'Sep 2022'!Q29+'Oct 2022'!P29</f>
        <v>0</v>
      </c>
      <c r="R29" s="1">
        <v>0</v>
      </c>
      <c r="S29" s="1">
        <f>'Sep 2022'!S29+'Oct 2022'!R29</f>
        <v>23.2</v>
      </c>
      <c r="T29" s="96">
        <f t="shared" si="2"/>
        <v>34.52000000000001</v>
      </c>
      <c r="U29" s="1">
        <f t="shared" si="3"/>
        <v>4929.6280000000015</v>
      </c>
      <c r="W29" s="146"/>
    </row>
    <row r="30" spans="1:23" ht="54.75" customHeight="1">
      <c r="A30" s="101">
        <v>18</v>
      </c>
      <c r="B30" s="103" t="s">
        <v>36</v>
      </c>
      <c r="C30" s="1">
        <f>'Sep 2022'!H30</f>
        <v>3655.2099999999996</v>
      </c>
      <c r="D30" s="1">
        <v>5.0599999999999996</v>
      </c>
      <c r="E30" s="1">
        <f>'Sep 2022'!E30+'Oct 2022'!D30</f>
        <v>47.930000000000014</v>
      </c>
      <c r="F30" s="1">
        <v>0</v>
      </c>
      <c r="G30" s="1">
        <f>'Sep 2022'!G30+'Oct 2022'!F30</f>
        <v>0</v>
      </c>
      <c r="H30" s="96">
        <f t="shared" si="0"/>
        <v>3660.2699999999995</v>
      </c>
      <c r="I30" s="1">
        <f>'Sep 2022'!N30</f>
        <v>110.587</v>
      </c>
      <c r="J30" s="1">
        <v>0</v>
      </c>
      <c r="K30" s="1">
        <f>'Sep 2022'!K30+'Oct 2022'!J30</f>
        <v>0</v>
      </c>
      <c r="L30" s="1">
        <v>0</v>
      </c>
      <c r="M30" s="1">
        <f>'Sep 2022'!M30+'Oct 2022'!L30</f>
        <v>0</v>
      </c>
      <c r="N30" s="96">
        <f t="shared" si="1"/>
        <v>110.587</v>
      </c>
      <c r="O30" s="1">
        <f>'Sep 2022'!T30</f>
        <v>23.25</v>
      </c>
      <c r="P30" s="1">
        <v>0</v>
      </c>
      <c r="Q30" s="1">
        <f>'Sep 2022'!Q30+'Oct 2022'!P30</f>
        <v>0</v>
      </c>
      <c r="R30" s="1">
        <v>0</v>
      </c>
      <c r="S30" s="1">
        <f>'Sep 2022'!S30+'Oct 2022'!R30</f>
        <v>0</v>
      </c>
      <c r="T30" s="96">
        <f t="shared" si="2"/>
        <v>23.25</v>
      </c>
      <c r="U30" s="96">
        <f t="shared" si="3"/>
        <v>3794.1069999999995</v>
      </c>
      <c r="W30" s="146"/>
    </row>
    <row r="31" spans="1:23" s="7" customFormat="1" ht="44.25" customHeight="1">
      <c r="A31" s="101">
        <v>19</v>
      </c>
      <c r="B31" s="103" t="s">
        <v>37</v>
      </c>
      <c r="C31" s="1">
        <f>'Sep 2022'!H31</f>
        <v>4682.795000000001</v>
      </c>
      <c r="D31" s="1">
        <v>1.0349999999999999</v>
      </c>
      <c r="E31" s="1">
        <f>'Sep 2022'!E31+'Oct 2022'!D31</f>
        <v>18.251000000000001</v>
      </c>
      <c r="F31" s="1">
        <v>0</v>
      </c>
      <c r="G31" s="1">
        <f>'Sep 2022'!G31+'Oct 2022'!F31</f>
        <v>0</v>
      </c>
      <c r="H31" s="96">
        <f t="shared" si="0"/>
        <v>4683.8300000000008</v>
      </c>
      <c r="I31" s="1">
        <f>'Sep 2022'!N31</f>
        <v>107.63000000000002</v>
      </c>
      <c r="J31" s="1">
        <v>0</v>
      </c>
      <c r="K31" s="1">
        <f>'Sep 2022'!K31+'Oct 2022'!J31</f>
        <v>0</v>
      </c>
      <c r="L31" s="1">
        <v>0</v>
      </c>
      <c r="M31" s="1">
        <f>'Sep 2022'!M31+'Oct 2022'!L31</f>
        <v>0</v>
      </c>
      <c r="N31" s="96">
        <f t="shared" si="1"/>
        <v>107.63000000000002</v>
      </c>
      <c r="O31" s="1">
        <f>'Sep 2022'!T31</f>
        <v>14.850000000000001</v>
      </c>
      <c r="P31" s="1">
        <v>0</v>
      </c>
      <c r="Q31" s="1">
        <f>'Sep 2022'!Q31+'Oct 2022'!P31</f>
        <v>0</v>
      </c>
      <c r="R31" s="1">
        <v>0</v>
      </c>
      <c r="S31" s="1">
        <f>'Sep 2022'!S31+'Oct 2022'!R31</f>
        <v>0</v>
      </c>
      <c r="T31" s="96">
        <f t="shared" si="2"/>
        <v>14.850000000000001</v>
      </c>
      <c r="U31" s="96">
        <f t="shared" si="3"/>
        <v>4806.3100000000013</v>
      </c>
      <c r="W31" s="146"/>
    </row>
    <row r="32" spans="1:23" ht="70.5" customHeight="1">
      <c r="A32" s="101">
        <v>20</v>
      </c>
      <c r="B32" s="103" t="s">
        <v>38</v>
      </c>
      <c r="C32" s="1">
        <f>'Sep 2022'!H32</f>
        <v>2349.9457999999995</v>
      </c>
      <c r="D32" s="1">
        <v>0.6</v>
      </c>
      <c r="E32" s="1">
        <f>'Sep 2022'!E32+'Oct 2022'!D32</f>
        <v>17.41</v>
      </c>
      <c r="F32" s="1">
        <v>0</v>
      </c>
      <c r="G32" s="1">
        <f>'Sep 2022'!G32+'Oct 2022'!F32</f>
        <v>9.7200000000000006</v>
      </c>
      <c r="H32" s="96">
        <f t="shared" si="0"/>
        <v>2350.5457999999994</v>
      </c>
      <c r="I32" s="1">
        <f>'Sep 2022'!N32</f>
        <v>87.076000000000008</v>
      </c>
      <c r="J32" s="1">
        <v>0.22</v>
      </c>
      <c r="K32" s="1">
        <f>'Sep 2022'!K32+'Oct 2022'!J32</f>
        <v>4.53</v>
      </c>
      <c r="L32" s="1">
        <v>0</v>
      </c>
      <c r="M32" s="1">
        <f>'Sep 2022'!M32+'Oct 2022'!L32</f>
        <v>0</v>
      </c>
      <c r="N32" s="96">
        <f t="shared" si="1"/>
        <v>87.296000000000006</v>
      </c>
      <c r="O32" s="1">
        <f>'Sep 2022'!T32</f>
        <v>67.551999999999992</v>
      </c>
      <c r="P32" s="1">
        <v>0</v>
      </c>
      <c r="Q32" s="1">
        <f>'Sep 2022'!Q32+'Oct 2022'!P32</f>
        <v>0</v>
      </c>
      <c r="R32" s="1">
        <v>0</v>
      </c>
      <c r="S32" s="1">
        <f>'Sep 2022'!S32+'Oct 2022'!R32</f>
        <v>0</v>
      </c>
      <c r="T32" s="96">
        <f t="shared" si="2"/>
        <v>67.551999999999992</v>
      </c>
      <c r="U32" s="96">
        <f t="shared" si="3"/>
        <v>2505.3937999999994</v>
      </c>
      <c r="W32" s="146"/>
    </row>
    <row r="33" spans="1:23" s="7" customFormat="1" ht="38.25" customHeight="1">
      <c r="A33" s="100"/>
      <c r="B33" s="102" t="s">
        <v>65</v>
      </c>
      <c r="C33" s="2">
        <f>SUM(C29:C32)</f>
        <v>15404.148800000001</v>
      </c>
      <c r="D33" s="2">
        <f t="shared" ref="D33:U33" si="10">SUM(D29:D32)</f>
        <v>64.765000000000001</v>
      </c>
      <c r="E33" s="2">
        <f t="shared" si="10"/>
        <v>204.39100000000002</v>
      </c>
      <c r="F33" s="2">
        <f t="shared" si="10"/>
        <v>0</v>
      </c>
      <c r="G33" s="2">
        <f t="shared" si="10"/>
        <v>9.7200000000000006</v>
      </c>
      <c r="H33" s="2">
        <f t="shared" si="10"/>
        <v>15468.913800000002</v>
      </c>
      <c r="I33" s="2">
        <f t="shared" si="10"/>
        <v>425.20300000000009</v>
      </c>
      <c r="J33" s="2">
        <f t="shared" si="10"/>
        <v>1.1500000000000001</v>
      </c>
      <c r="K33" s="2">
        <f t="shared" si="10"/>
        <v>5.98</v>
      </c>
      <c r="L33" s="2">
        <f t="shared" si="10"/>
        <v>0</v>
      </c>
      <c r="M33" s="2">
        <f t="shared" si="10"/>
        <v>0</v>
      </c>
      <c r="N33" s="2">
        <f t="shared" si="10"/>
        <v>426.35300000000001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10"/>
        <v>140.172</v>
      </c>
      <c r="U33" s="2">
        <f t="shared" si="10"/>
        <v>16035.438800000002</v>
      </c>
    </row>
    <row r="34" spans="1:23" ht="38.25" customHeight="1">
      <c r="A34" s="101">
        <v>21</v>
      </c>
      <c r="B34" s="103" t="s">
        <v>39</v>
      </c>
      <c r="C34" s="1">
        <f>'Sep 2022'!H34</f>
        <v>4564.3</v>
      </c>
      <c r="D34" s="1">
        <v>4.3899999999999997</v>
      </c>
      <c r="E34" s="1">
        <f>'Sep 2022'!E34+'Oct 2022'!D34</f>
        <v>129.58999999999997</v>
      </c>
      <c r="F34" s="1">
        <v>0</v>
      </c>
      <c r="G34" s="1">
        <f>'Sep 2022'!G34+'Oct 2022'!F34</f>
        <v>0</v>
      </c>
      <c r="H34" s="1">
        <f t="shared" si="0"/>
        <v>4568.6900000000005</v>
      </c>
      <c r="I34" s="1">
        <f>'Sep 2022'!N34</f>
        <v>84.949999999999989</v>
      </c>
      <c r="J34" s="1">
        <v>0.08</v>
      </c>
      <c r="K34" s="1">
        <f>'Sep 2022'!K34+'Oct 2022'!J34</f>
        <v>85.029999999999987</v>
      </c>
      <c r="L34" s="1">
        <v>0</v>
      </c>
      <c r="M34" s="1">
        <f>'Sep 2022'!M34+'Oct 2022'!L34</f>
        <v>0</v>
      </c>
      <c r="N34" s="96">
        <f t="shared" si="1"/>
        <v>85.029999999999987</v>
      </c>
      <c r="O34" s="1">
        <f>'Sep 2022'!T34</f>
        <v>72.7</v>
      </c>
      <c r="P34" s="1">
        <v>0</v>
      </c>
      <c r="Q34" s="1">
        <f>'Sep 2022'!Q34+'Oct 2022'!P34</f>
        <v>72.7</v>
      </c>
      <c r="R34" s="1">
        <v>0</v>
      </c>
      <c r="S34" s="1">
        <f>'Sep 2022'!S34+'Oct 2022'!R34</f>
        <v>0</v>
      </c>
      <c r="T34" s="96">
        <f t="shared" si="2"/>
        <v>72.7</v>
      </c>
      <c r="U34" s="1">
        <f t="shared" si="3"/>
        <v>4726.42</v>
      </c>
    </row>
    <row r="35" spans="1:23" ht="38.25" customHeight="1">
      <c r="A35" s="101">
        <v>22</v>
      </c>
      <c r="B35" s="103" t="s">
        <v>40</v>
      </c>
      <c r="C35" s="1">
        <f>'Sep 2022'!H35</f>
        <v>6426.0799999999972</v>
      </c>
      <c r="D35" s="96">
        <f>24.12+40.18</f>
        <v>64.3</v>
      </c>
      <c r="E35" s="1">
        <f>'Sep 2022'!E35+'Oct 2022'!D35</f>
        <v>280.8</v>
      </c>
      <c r="F35" s="1">
        <v>0</v>
      </c>
      <c r="G35" s="1">
        <f>'Sep 2022'!G35+'Oct 2022'!F35</f>
        <v>0</v>
      </c>
      <c r="H35" s="1">
        <f t="shared" si="0"/>
        <v>6490.3799999999974</v>
      </c>
      <c r="I35" s="1">
        <f>'Sep 2022'!N35</f>
        <v>34.130000000000003</v>
      </c>
      <c r="J35" s="1">
        <v>0</v>
      </c>
      <c r="K35" s="1">
        <f>'Sep 2022'!K35+'Oct 2022'!J35</f>
        <v>27.21</v>
      </c>
      <c r="L35" s="1">
        <v>0</v>
      </c>
      <c r="M35" s="1">
        <f>'Sep 2022'!M35+'Oct 2022'!L35</f>
        <v>0</v>
      </c>
      <c r="N35" s="96">
        <f t="shared" si="1"/>
        <v>34.130000000000003</v>
      </c>
      <c r="O35" s="1">
        <f>'Sep 2022'!T35</f>
        <v>90.800000000000011</v>
      </c>
      <c r="P35" s="1">
        <v>0</v>
      </c>
      <c r="Q35" s="1">
        <f>'Sep 2022'!Q35+'Oct 2022'!P35</f>
        <v>32.380000000000003</v>
      </c>
      <c r="R35" s="1">
        <v>0</v>
      </c>
      <c r="S35" s="1">
        <f>'Sep 2022'!S35+'Oct 2022'!R35</f>
        <v>0</v>
      </c>
      <c r="T35" s="96">
        <f t="shared" si="2"/>
        <v>90.800000000000011</v>
      </c>
      <c r="U35" s="1">
        <f t="shared" si="3"/>
        <v>6615.3099999999977</v>
      </c>
    </row>
    <row r="36" spans="1:23" s="7" customFormat="1" ht="38.25" customHeight="1">
      <c r="A36" s="101">
        <v>23</v>
      </c>
      <c r="B36" s="103" t="s">
        <v>41</v>
      </c>
      <c r="C36" s="1">
        <f>'Sep 2022'!H36</f>
        <v>3567.25</v>
      </c>
      <c r="D36" s="1">
        <v>13.63</v>
      </c>
      <c r="E36" s="1">
        <f>'Sep 2022'!E36+'Oct 2022'!D36</f>
        <v>129.78</v>
      </c>
      <c r="F36" s="1">
        <v>0</v>
      </c>
      <c r="G36" s="1">
        <f>'Sep 2022'!G36+'Oct 2022'!F36</f>
        <v>0</v>
      </c>
      <c r="H36" s="1">
        <f t="shared" si="0"/>
        <v>3580.88</v>
      </c>
      <c r="I36" s="1">
        <f>'Sep 2022'!N36</f>
        <v>30.250000000000039</v>
      </c>
      <c r="J36" s="1">
        <v>0</v>
      </c>
      <c r="K36" s="1">
        <f>'Sep 2022'!K36+'Oct 2022'!J36</f>
        <v>5.2</v>
      </c>
      <c r="L36" s="1">
        <v>0</v>
      </c>
      <c r="M36" s="1">
        <f>'Sep 2022'!M36+'Oct 2022'!L36</f>
        <v>4.63</v>
      </c>
      <c r="N36" s="96">
        <f t="shared" si="1"/>
        <v>30.250000000000039</v>
      </c>
      <c r="O36" s="1">
        <f>'Sep 2022'!T36</f>
        <v>36.379999999999995</v>
      </c>
      <c r="P36" s="1">
        <v>0</v>
      </c>
      <c r="Q36" s="1">
        <f>'Sep 2022'!Q36+'Oct 2022'!P36</f>
        <v>19.29</v>
      </c>
      <c r="R36" s="1">
        <v>0</v>
      </c>
      <c r="S36" s="1">
        <f>'Sep 2022'!S36+'Oct 2022'!R36</f>
        <v>0</v>
      </c>
      <c r="T36" s="96">
        <f t="shared" si="2"/>
        <v>36.379999999999995</v>
      </c>
      <c r="U36" s="1">
        <f t="shared" si="3"/>
        <v>3647.51</v>
      </c>
    </row>
    <row r="37" spans="1:23" s="7" customFormat="1" ht="38.25" customHeight="1">
      <c r="A37" s="101">
        <v>24</v>
      </c>
      <c r="B37" s="103" t="s">
        <v>42</v>
      </c>
      <c r="C37" s="1">
        <f>'Sep 2022'!H37</f>
        <v>4911.7299999999977</v>
      </c>
      <c r="D37" s="96">
        <f>6.45+46.02</f>
        <v>52.470000000000006</v>
      </c>
      <c r="E37" s="1">
        <f>'Sep 2022'!E37+'Oct 2022'!D37</f>
        <v>176.08</v>
      </c>
      <c r="F37" s="1">
        <v>0</v>
      </c>
      <c r="G37" s="1">
        <f>'Sep 2022'!G37+'Oct 2022'!F37</f>
        <v>0</v>
      </c>
      <c r="H37" s="1">
        <f t="shared" si="0"/>
        <v>4964.199999999998</v>
      </c>
      <c r="I37" s="1">
        <f>'Sep 2022'!N37</f>
        <v>26.700000000000003</v>
      </c>
      <c r="J37" s="1">
        <v>0</v>
      </c>
      <c r="K37" s="1">
        <f>'Sep 2022'!K37+'Oct 2022'!J37</f>
        <v>14.27</v>
      </c>
      <c r="L37" s="1">
        <v>0</v>
      </c>
      <c r="M37" s="1">
        <f>'Sep 2022'!M37+'Oct 2022'!L37</f>
        <v>1.06</v>
      </c>
      <c r="N37" s="96">
        <f t="shared" si="1"/>
        <v>26.700000000000003</v>
      </c>
      <c r="O37" s="1">
        <f>'Sep 2022'!T37</f>
        <v>3.0599999999999996</v>
      </c>
      <c r="P37" s="1">
        <v>0</v>
      </c>
      <c r="Q37" s="1">
        <f>'Sep 2022'!Q37+'Oct 2022'!P37</f>
        <v>0</v>
      </c>
      <c r="R37" s="1">
        <v>0</v>
      </c>
      <c r="S37" s="1">
        <f>'Sep 2022'!S37+'Oct 2022'!R37</f>
        <v>3.46</v>
      </c>
      <c r="T37" s="96">
        <f t="shared" si="2"/>
        <v>3.0599999999999996</v>
      </c>
      <c r="U37" s="1">
        <f t="shared" si="3"/>
        <v>4993.9599999999982</v>
      </c>
    </row>
    <row r="38" spans="1:23" s="7" customFormat="1" ht="38.25" customHeight="1">
      <c r="A38" s="100"/>
      <c r="B38" s="102" t="s">
        <v>43</v>
      </c>
      <c r="C38" s="2">
        <f>SUM(C34:C37)</f>
        <v>19469.359999999993</v>
      </c>
      <c r="D38" s="2">
        <f t="shared" ref="D38:U38" si="11">SUM(D34:D37)</f>
        <v>134.79</v>
      </c>
      <c r="E38" s="2">
        <f t="shared" si="11"/>
        <v>716.25</v>
      </c>
      <c r="F38" s="2">
        <f t="shared" si="11"/>
        <v>0</v>
      </c>
      <c r="G38" s="2">
        <f t="shared" si="11"/>
        <v>0</v>
      </c>
      <c r="H38" s="2">
        <f t="shared" si="11"/>
        <v>19604.149999999994</v>
      </c>
      <c r="I38" s="2">
        <f t="shared" si="11"/>
        <v>176.03000000000003</v>
      </c>
      <c r="J38" s="2">
        <f t="shared" si="11"/>
        <v>0.08</v>
      </c>
      <c r="K38" s="2">
        <f t="shared" si="11"/>
        <v>131.70999999999998</v>
      </c>
      <c r="L38" s="2">
        <f t="shared" si="11"/>
        <v>0</v>
      </c>
      <c r="M38" s="2">
        <f t="shared" si="11"/>
        <v>5.6899999999999995</v>
      </c>
      <c r="N38" s="2">
        <f t="shared" si="11"/>
        <v>176.11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11"/>
        <v>202.94</v>
      </c>
      <c r="U38" s="2">
        <f t="shared" si="11"/>
        <v>19983.199999999997</v>
      </c>
    </row>
    <row r="39" spans="1:23" s="7" customFormat="1" ht="38.25" customHeight="1">
      <c r="A39" s="100"/>
      <c r="B39" s="102" t="s">
        <v>44</v>
      </c>
      <c r="C39" s="2">
        <f>C38+C33+C28</f>
        <v>42112.813799999996</v>
      </c>
      <c r="D39" s="2">
        <f t="shared" ref="D39:U39" si="12">D38+D33+D28</f>
        <v>211.26500000000001</v>
      </c>
      <c r="E39" s="2">
        <f t="shared" si="12"/>
        <v>1041.971</v>
      </c>
      <c r="F39" s="2">
        <f t="shared" si="12"/>
        <v>0</v>
      </c>
      <c r="G39" s="2">
        <f t="shared" si="12"/>
        <v>9.7200000000000006</v>
      </c>
      <c r="H39" s="2">
        <f t="shared" si="12"/>
        <v>42324.078800000003</v>
      </c>
      <c r="I39" s="2">
        <f t="shared" si="12"/>
        <v>1272.3910000000001</v>
      </c>
      <c r="J39" s="2">
        <f t="shared" si="12"/>
        <v>3.1900000000000004</v>
      </c>
      <c r="K39" s="2">
        <f t="shared" si="12"/>
        <v>149.28999999999996</v>
      </c>
      <c r="L39" s="2">
        <f t="shared" si="12"/>
        <v>0</v>
      </c>
      <c r="M39" s="2">
        <f t="shared" si="12"/>
        <v>5.6899999999999995</v>
      </c>
      <c r="N39" s="2">
        <f t="shared" si="12"/>
        <v>1275.5809999999999</v>
      </c>
      <c r="O39" s="2">
        <f t="shared" si="12"/>
        <v>392.81199999999995</v>
      </c>
      <c r="P39" s="2">
        <f t="shared" si="12"/>
        <v>0</v>
      </c>
      <c r="Q39" s="2">
        <f t="shared" si="12"/>
        <v>124.47</v>
      </c>
      <c r="R39" s="2">
        <f t="shared" si="12"/>
        <v>0</v>
      </c>
      <c r="S39" s="2">
        <f t="shared" si="12"/>
        <v>26.66</v>
      </c>
      <c r="T39" s="2">
        <f t="shared" si="12"/>
        <v>392.81199999999995</v>
      </c>
      <c r="U39" s="2">
        <f t="shared" si="12"/>
        <v>43992.471800000007</v>
      </c>
      <c r="V39" s="2">
        <f t="shared" ref="V39" si="13">V38+V33+V28</f>
        <v>0</v>
      </c>
      <c r="W39" s="2"/>
    </row>
    <row r="40" spans="1:23" ht="38.25" customHeight="1">
      <c r="A40" s="101">
        <v>25</v>
      </c>
      <c r="B40" s="103" t="s">
        <v>45</v>
      </c>
      <c r="C40" s="1">
        <f>'Sep 2022'!H40</f>
        <v>11740.963999999998</v>
      </c>
      <c r="D40" s="1">
        <v>9.98</v>
      </c>
      <c r="E40" s="1">
        <f>'Sep 2022'!E40+'Oct 2022'!D40</f>
        <v>360.50000000000006</v>
      </c>
      <c r="F40" s="1">
        <v>0</v>
      </c>
      <c r="G40" s="1">
        <f>'Sep 2022'!G40+'Oct 2022'!F40</f>
        <v>0</v>
      </c>
      <c r="H40" s="1">
        <f t="shared" si="0"/>
        <v>11750.943999999998</v>
      </c>
      <c r="I40" s="1">
        <f>'Sep 2022'!N40</f>
        <v>198.73</v>
      </c>
      <c r="J40" s="1">
        <v>0</v>
      </c>
      <c r="K40" s="1">
        <f>'Sep 2022'!K40+'Oct 2022'!J40</f>
        <v>0</v>
      </c>
      <c r="L40" s="1">
        <v>0</v>
      </c>
      <c r="M40" s="1">
        <f>'Sep 2022'!M40+'Oct 2022'!L40</f>
        <v>0</v>
      </c>
      <c r="N40" s="96">
        <f t="shared" si="1"/>
        <v>198.73</v>
      </c>
      <c r="O40" s="1">
        <f>'Sep 2022'!T40</f>
        <v>53.46</v>
      </c>
      <c r="P40" s="96">
        <v>8.91</v>
      </c>
      <c r="Q40" s="1">
        <f>'Sep 2022'!Q40+'Oct 2022'!P40</f>
        <v>62.370000000000005</v>
      </c>
      <c r="R40" s="1">
        <v>0</v>
      </c>
      <c r="S40" s="1">
        <f>'Sep 2022'!S40+'Oct 2022'!R40</f>
        <v>0</v>
      </c>
      <c r="T40" s="1">
        <f t="shared" si="2"/>
        <v>62.370000000000005</v>
      </c>
      <c r="U40" s="1">
        <f t="shared" si="3"/>
        <v>12012.043999999998</v>
      </c>
    </row>
    <row r="41" spans="1:23" ht="38.25" customHeight="1">
      <c r="A41" s="101">
        <v>26</v>
      </c>
      <c r="B41" s="103" t="s">
        <v>46</v>
      </c>
      <c r="C41" s="1">
        <f>'Sep 2022'!H41</f>
        <v>8102.6689999999935</v>
      </c>
      <c r="D41" s="96">
        <f>26.32+36.28</f>
        <v>62.6</v>
      </c>
      <c r="E41" s="1">
        <f>'Sep 2022'!E41+'Oct 2022'!D41</f>
        <v>667.23200000000008</v>
      </c>
      <c r="F41" s="1">
        <v>0</v>
      </c>
      <c r="G41" s="1">
        <f>'Sep 2022'!G41+'Oct 2022'!F41</f>
        <v>0</v>
      </c>
      <c r="H41" s="1">
        <f t="shared" si="0"/>
        <v>8165.2689999999939</v>
      </c>
      <c r="I41" s="1">
        <f>'Sep 2022'!N41</f>
        <v>8.67</v>
      </c>
      <c r="J41" s="1">
        <v>0</v>
      </c>
      <c r="K41" s="1">
        <f>'Sep 2022'!K41+'Oct 2022'!J41</f>
        <v>0</v>
      </c>
      <c r="L41" s="1">
        <v>0</v>
      </c>
      <c r="M41" s="1">
        <f>'Sep 2022'!M41+'Oct 2022'!L41</f>
        <v>0</v>
      </c>
      <c r="N41" s="96">
        <f t="shared" si="1"/>
        <v>8.67</v>
      </c>
      <c r="O41" s="1">
        <f>'Sep 2022'!T41</f>
        <v>47.1</v>
      </c>
      <c r="P41" s="96">
        <v>15.7</v>
      </c>
      <c r="Q41" s="1">
        <f>'Sep 2022'!Q41+'Oct 2022'!P41</f>
        <v>62.8</v>
      </c>
      <c r="R41" s="1">
        <v>0</v>
      </c>
      <c r="S41" s="1">
        <f>'Sep 2022'!S41+'Oct 2022'!R41</f>
        <v>0</v>
      </c>
      <c r="T41" s="1">
        <f t="shared" si="2"/>
        <v>62.8</v>
      </c>
      <c r="U41" s="1">
        <f t="shared" si="3"/>
        <v>8236.7389999999941</v>
      </c>
    </row>
    <row r="42" spans="1:23" s="7" customFormat="1" ht="38.25" customHeight="1">
      <c r="A42" s="101">
        <v>27</v>
      </c>
      <c r="B42" s="103" t="s">
        <v>47</v>
      </c>
      <c r="C42" s="1">
        <f>'Sep 2022'!H42</f>
        <v>13865.358999999995</v>
      </c>
      <c r="D42" s="1">
        <v>5.91</v>
      </c>
      <c r="E42" s="1">
        <f>'Sep 2022'!E42+'Oct 2022'!D42</f>
        <v>65.830000000000013</v>
      </c>
      <c r="F42" s="1">
        <v>0</v>
      </c>
      <c r="G42" s="1">
        <f>'Sep 2022'!G42+'Oct 2022'!F42</f>
        <v>0</v>
      </c>
      <c r="H42" s="1">
        <f t="shared" si="0"/>
        <v>13871.268999999995</v>
      </c>
      <c r="I42" s="1">
        <f>'Sep 2022'!N42</f>
        <v>15.62</v>
      </c>
      <c r="J42" s="1">
        <v>0</v>
      </c>
      <c r="K42" s="1">
        <f>'Sep 2022'!K42+'Oct 2022'!J42</f>
        <v>0</v>
      </c>
      <c r="L42" s="1">
        <v>0</v>
      </c>
      <c r="M42" s="1">
        <f>'Sep 2022'!M42+'Oct 2022'!L42</f>
        <v>0</v>
      </c>
      <c r="N42" s="96">
        <f t="shared" si="1"/>
        <v>15.62</v>
      </c>
      <c r="O42" s="1">
        <f>'Sep 2022'!T42</f>
        <v>73.239999999999995</v>
      </c>
      <c r="P42" s="96">
        <v>22.01</v>
      </c>
      <c r="Q42" s="1">
        <f>'Sep 2022'!Q42+'Oct 2022'!P42</f>
        <v>56.230000000000004</v>
      </c>
      <c r="R42" s="1">
        <v>0</v>
      </c>
      <c r="S42" s="1">
        <f>'Sep 2022'!S42+'Oct 2022'!R42</f>
        <v>0</v>
      </c>
      <c r="T42" s="1">
        <f t="shared" si="2"/>
        <v>95.25</v>
      </c>
      <c r="U42" s="1">
        <f t="shared" si="3"/>
        <v>13982.138999999996</v>
      </c>
    </row>
    <row r="43" spans="1:23" ht="38.25" customHeight="1">
      <c r="A43" s="101">
        <v>28</v>
      </c>
      <c r="B43" s="103" t="s">
        <v>48</v>
      </c>
      <c r="C43" s="1">
        <f>'Sep 2022'!H43</f>
        <v>4028.5600000000009</v>
      </c>
      <c r="D43" s="96">
        <f>8.65+33.75</f>
        <v>42.4</v>
      </c>
      <c r="E43" s="1">
        <f>'Sep 2022'!E43+'Oct 2022'!D43</f>
        <v>103.48</v>
      </c>
      <c r="F43" s="1">
        <v>0</v>
      </c>
      <c r="G43" s="1">
        <f>'Sep 2022'!G43+'Oct 2022'!F43</f>
        <v>0</v>
      </c>
      <c r="H43" s="1">
        <f t="shared" si="0"/>
        <v>4070.9600000000009</v>
      </c>
      <c r="I43" s="1">
        <f>'Sep 2022'!N43</f>
        <v>3.5</v>
      </c>
      <c r="J43" s="1">
        <v>0</v>
      </c>
      <c r="K43" s="1">
        <f>'Sep 2022'!K43+'Oct 2022'!J43</f>
        <v>0</v>
      </c>
      <c r="L43" s="1">
        <v>0</v>
      </c>
      <c r="M43" s="1">
        <f>'Sep 2022'!M43+'Oct 2022'!L43</f>
        <v>0</v>
      </c>
      <c r="N43" s="96">
        <f t="shared" si="1"/>
        <v>3.5</v>
      </c>
      <c r="O43" s="1">
        <f>'Sep 2022'!T43</f>
        <v>29.8</v>
      </c>
      <c r="P43" s="1">
        <v>0</v>
      </c>
      <c r="Q43" s="1">
        <f>'Sep 2022'!Q43+'Oct 2022'!P43</f>
        <v>29.8</v>
      </c>
      <c r="R43" s="1">
        <v>0</v>
      </c>
      <c r="S43" s="1">
        <f>'Sep 2022'!S43+'Oct 2022'!R43</f>
        <v>0</v>
      </c>
      <c r="T43" s="96">
        <f t="shared" si="2"/>
        <v>29.8</v>
      </c>
      <c r="U43" s="1">
        <f t="shared" si="3"/>
        <v>4104.2600000000011</v>
      </c>
    </row>
    <row r="44" spans="1:23" s="7" customFormat="1" ht="38.25" customHeight="1">
      <c r="A44" s="100"/>
      <c r="B44" s="102" t="s">
        <v>49</v>
      </c>
      <c r="C44" s="2">
        <f>SUM(C40:C43)</f>
        <v>37737.551999999981</v>
      </c>
      <c r="D44" s="2">
        <f t="shared" ref="D44:U44" si="14">SUM(D40:D43)</f>
        <v>120.88999999999999</v>
      </c>
      <c r="E44" s="2">
        <f t="shared" si="14"/>
        <v>1197.0420000000001</v>
      </c>
      <c r="F44" s="2">
        <f t="shared" si="14"/>
        <v>0</v>
      </c>
      <c r="G44" s="2">
        <f t="shared" si="14"/>
        <v>0</v>
      </c>
      <c r="H44" s="2">
        <f t="shared" si="14"/>
        <v>37858.441999999988</v>
      </c>
      <c r="I44" s="2">
        <f t="shared" si="14"/>
        <v>226.51999999999998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">
        <f t="shared" si="14"/>
        <v>226.51999999999998</v>
      </c>
      <c r="O44" s="2">
        <f t="shared" si="14"/>
        <v>203.60000000000002</v>
      </c>
      <c r="P44" s="2">
        <f t="shared" si="14"/>
        <v>46.620000000000005</v>
      </c>
      <c r="Q44" s="2">
        <f t="shared" si="14"/>
        <v>211.20000000000002</v>
      </c>
      <c r="R44" s="2">
        <f t="shared" si="14"/>
        <v>0</v>
      </c>
      <c r="S44" s="2">
        <f t="shared" si="14"/>
        <v>0</v>
      </c>
      <c r="T44" s="2">
        <f t="shared" si="14"/>
        <v>250.22000000000003</v>
      </c>
      <c r="U44" s="2">
        <f t="shared" si="14"/>
        <v>38335.181999999993</v>
      </c>
    </row>
    <row r="45" spans="1:23" ht="38.25" customHeight="1">
      <c r="A45" s="101">
        <v>29</v>
      </c>
      <c r="B45" s="103" t="s">
        <v>50</v>
      </c>
      <c r="C45" s="1">
        <f>'Sep 2022'!H45</f>
        <v>8152.1521000000002</v>
      </c>
      <c r="D45" s="1">
        <v>8.09</v>
      </c>
      <c r="E45" s="1">
        <f>'Sep 2022'!E45+'Oct 2022'!D45</f>
        <v>108.26</v>
      </c>
      <c r="F45" s="1">
        <v>0</v>
      </c>
      <c r="G45" s="1">
        <f>'Sep 2022'!G45+'Oct 2022'!F45</f>
        <v>0</v>
      </c>
      <c r="H45" s="96">
        <f t="shared" si="0"/>
        <v>8160.2421000000004</v>
      </c>
      <c r="I45" s="1">
        <f>'Sep 2022'!N45</f>
        <v>157.03</v>
      </c>
      <c r="J45" s="96">
        <f>0.02+51.14</f>
        <v>51.160000000000004</v>
      </c>
      <c r="K45" s="1">
        <f>'Sep 2022'!K45+'Oct 2022'!J45</f>
        <v>166.26999999999998</v>
      </c>
      <c r="L45" s="1">
        <v>0</v>
      </c>
      <c r="M45" s="1">
        <f>'Sep 2022'!M45+'Oct 2022'!L45</f>
        <v>0</v>
      </c>
      <c r="N45" s="1">
        <f t="shared" si="1"/>
        <v>208.19</v>
      </c>
      <c r="O45" s="1">
        <f>'Sep 2022'!T45</f>
        <v>55.239999999999995</v>
      </c>
      <c r="P45" s="1">
        <v>28.98</v>
      </c>
      <c r="Q45" s="1">
        <f>'Sep 2022'!Q45+'Oct 2022'!P45</f>
        <v>69.47</v>
      </c>
      <c r="R45" s="1">
        <v>0</v>
      </c>
      <c r="S45" s="1">
        <f>'Sep 2022'!S45+'Oct 2022'!R45</f>
        <v>0</v>
      </c>
      <c r="T45" s="96">
        <f t="shared" si="2"/>
        <v>84.22</v>
      </c>
      <c r="U45" s="1">
        <f t="shared" si="3"/>
        <v>8452.6520999999993</v>
      </c>
    </row>
    <row r="46" spans="1:23" ht="38.25" customHeight="1">
      <c r="A46" s="101">
        <v>30</v>
      </c>
      <c r="B46" s="103" t="s">
        <v>51</v>
      </c>
      <c r="C46" s="1">
        <f>'Sep 2022'!H46</f>
        <v>7787.135000000002</v>
      </c>
      <c r="D46" s="1">
        <v>0.3</v>
      </c>
      <c r="E46" s="1">
        <f>'Sep 2022'!E46+'Oct 2022'!D46</f>
        <v>48.94</v>
      </c>
      <c r="F46" s="1">
        <v>0</v>
      </c>
      <c r="G46" s="1">
        <f>'Sep 2022'!G46+'Oct 2022'!F46</f>
        <v>0</v>
      </c>
      <c r="H46" s="96">
        <f t="shared" si="0"/>
        <v>7787.4350000000022</v>
      </c>
      <c r="I46" s="1">
        <f>'Sep 2022'!N46</f>
        <v>0</v>
      </c>
      <c r="J46" s="1">
        <v>0</v>
      </c>
      <c r="K46" s="1">
        <f>'Sep 2022'!K46+'Oct 2022'!J46</f>
        <v>0</v>
      </c>
      <c r="L46" s="1">
        <v>0</v>
      </c>
      <c r="M46" s="1">
        <f>'Sep 2022'!M46+'Oct 2022'!L46</f>
        <v>0</v>
      </c>
      <c r="N46" s="96">
        <f t="shared" si="1"/>
        <v>0</v>
      </c>
      <c r="O46" s="1">
        <f>'Sep 2022'!T46</f>
        <v>37.18</v>
      </c>
      <c r="P46" s="1">
        <v>9.85</v>
      </c>
      <c r="Q46" s="1">
        <f>'Sep 2022'!Q46+'Oct 2022'!P46</f>
        <v>47.03</v>
      </c>
      <c r="R46" s="1">
        <v>0</v>
      </c>
      <c r="S46" s="1">
        <f>'Sep 2022'!S46+'Oct 2022'!R46</f>
        <v>0</v>
      </c>
      <c r="T46" s="96">
        <f t="shared" si="2"/>
        <v>47.03</v>
      </c>
      <c r="U46" s="1">
        <f t="shared" si="3"/>
        <v>7834.465000000002</v>
      </c>
    </row>
    <row r="47" spans="1:23" s="7" customFormat="1" ht="38.25" customHeight="1">
      <c r="A47" s="101">
        <v>31</v>
      </c>
      <c r="B47" s="103" t="s">
        <v>52</v>
      </c>
      <c r="C47" s="1">
        <f>'Sep 2022'!H47</f>
        <v>8926.49</v>
      </c>
      <c r="D47" s="1">
        <v>2.72</v>
      </c>
      <c r="E47" s="1">
        <f>'Sep 2022'!E47+'Oct 2022'!D47</f>
        <v>144.57000000000002</v>
      </c>
      <c r="F47" s="1">
        <v>0</v>
      </c>
      <c r="G47" s="1">
        <f>'Sep 2022'!G47+'Oct 2022'!F47</f>
        <v>0</v>
      </c>
      <c r="H47" s="96">
        <f t="shared" si="0"/>
        <v>8929.2099999999991</v>
      </c>
      <c r="I47" s="1">
        <f>'Sep 2022'!N47</f>
        <v>3.13</v>
      </c>
      <c r="J47" s="1">
        <v>0</v>
      </c>
      <c r="K47" s="1">
        <f>'Sep 2022'!K47+'Oct 2022'!J47</f>
        <v>0</v>
      </c>
      <c r="L47" s="1">
        <v>0</v>
      </c>
      <c r="M47" s="1">
        <f>'Sep 2022'!M47+'Oct 2022'!L47</f>
        <v>0</v>
      </c>
      <c r="N47" s="96">
        <f t="shared" si="1"/>
        <v>3.13</v>
      </c>
      <c r="O47" s="1">
        <f>'Sep 2022'!T47</f>
        <v>9.94</v>
      </c>
      <c r="P47" s="96">
        <v>54.5</v>
      </c>
      <c r="Q47" s="1">
        <f>'Sep 2022'!Q47+'Oct 2022'!P47</f>
        <v>64.41</v>
      </c>
      <c r="R47" s="1">
        <v>0</v>
      </c>
      <c r="S47" s="1">
        <f>'Sep 2022'!S47+'Oct 2022'!R47</f>
        <v>0</v>
      </c>
      <c r="T47" s="1">
        <f t="shared" si="2"/>
        <v>64.44</v>
      </c>
      <c r="U47" s="1">
        <f t="shared" si="3"/>
        <v>8996.7799999999988</v>
      </c>
    </row>
    <row r="48" spans="1:23" s="7" customFormat="1" ht="38.25" customHeight="1">
      <c r="A48" s="101">
        <v>32</v>
      </c>
      <c r="B48" s="103" t="s">
        <v>53</v>
      </c>
      <c r="C48" s="1">
        <f>'Sep 2022'!H48</f>
        <v>8576.9390000000003</v>
      </c>
      <c r="D48" s="1">
        <v>7.38</v>
      </c>
      <c r="E48" s="1">
        <f>'Sep 2022'!E48+'Oct 2022'!D48</f>
        <v>387.53</v>
      </c>
      <c r="F48" s="1">
        <v>0</v>
      </c>
      <c r="G48" s="1">
        <f>'Sep 2022'!G48+'Oct 2022'!F48</f>
        <v>0</v>
      </c>
      <c r="H48" s="96">
        <f t="shared" si="0"/>
        <v>8584.3189999999995</v>
      </c>
      <c r="I48" s="1">
        <f>'Sep 2022'!N48</f>
        <v>5.0249999999999995</v>
      </c>
      <c r="J48" s="1">
        <v>0</v>
      </c>
      <c r="K48" s="1">
        <f>'Sep 2022'!K48+'Oct 2022'!J48</f>
        <v>0</v>
      </c>
      <c r="L48" s="1">
        <v>0</v>
      </c>
      <c r="M48" s="1">
        <f>'Sep 2022'!M48+'Oct 2022'!L48</f>
        <v>0</v>
      </c>
      <c r="N48" s="96">
        <f t="shared" si="1"/>
        <v>5.0249999999999995</v>
      </c>
      <c r="O48" s="1">
        <f>'Sep 2022'!T48</f>
        <v>4.21</v>
      </c>
      <c r="P48" s="1">
        <v>0</v>
      </c>
      <c r="Q48" s="1">
        <f>'Sep 2022'!Q48+'Oct 2022'!P48</f>
        <v>4.21</v>
      </c>
      <c r="R48" s="1">
        <v>0</v>
      </c>
      <c r="S48" s="1">
        <f>'Sep 2022'!S48+'Oct 2022'!R48</f>
        <v>0</v>
      </c>
      <c r="T48" s="96">
        <f t="shared" si="2"/>
        <v>4.21</v>
      </c>
      <c r="U48" s="1">
        <f t="shared" si="3"/>
        <v>8593.5539999999983</v>
      </c>
    </row>
    <row r="49" spans="1:21" s="7" customFormat="1" ht="38.25" customHeight="1">
      <c r="A49" s="100"/>
      <c r="B49" s="102" t="s">
        <v>54</v>
      </c>
      <c r="C49" s="2">
        <f>SUM(C45:C48)</f>
        <v>33442.716099999998</v>
      </c>
      <c r="D49" s="2">
        <f t="shared" ref="D49:U49" si="15">SUM(D45:D48)</f>
        <v>18.490000000000002</v>
      </c>
      <c r="E49" s="2">
        <f t="shared" si="15"/>
        <v>689.3</v>
      </c>
      <c r="F49" s="2">
        <f t="shared" si="15"/>
        <v>0</v>
      </c>
      <c r="G49" s="2">
        <f t="shared" si="15"/>
        <v>0</v>
      </c>
      <c r="H49" s="107">
        <f t="shared" si="15"/>
        <v>33461.206099999996</v>
      </c>
      <c r="I49" s="2">
        <f t="shared" si="15"/>
        <v>165.185</v>
      </c>
      <c r="J49" s="2">
        <f t="shared" si="15"/>
        <v>51.160000000000004</v>
      </c>
      <c r="K49" s="2">
        <f t="shared" si="15"/>
        <v>166.26999999999998</v>
      </c>
      <c r="L49" s="2">
        <f t="shared" si="15"/>
        <v>0</v>
      </c>
      <c r="M49" s="2">
        <f t="shared" si="15"/>
        <v>0</v>
      </c>
      <c r="N49" s="2">
        <f t="shared" si="15"/>
        <v>216.345</v>
      </c>
      <c r="O49" s="2">
        <f t="shared" si="15"/>
        <v>106.56999999999998</v>
      </c>
      <c r="P49" s="2">
        <f t="shared" si="15"/>
        <v>93.33</v>
      </c>
      <c r="Q49" s="2">
        <f t="shared" si="15"/>
        <v>185.12</v>
      </c>
      <c r="R49" s="2">
        <f t="shared" si="15"/>
        <v>0</v>
      </c>
      <c r="S49" s="2">
        <f t="shared" si="15"/>
        <v>0</v>
      </c>
      <c r="T49" s="2">
        <f t="shared" si="15"/>
        <v>199.9</v>
      </c>
      <c r="U49" s="2">
        <f t="shared" si="15"/>
        <v>33877.451099999998</v>
      </c>
    </row>
    <row r="50" spans="1:21" s="7" customFormat="1" ht="38.25" customHeight="1">
      <c r="A50" s="100"/>
      <c r="B50" s="102" t="s">
        <v>55</v>
      </c>
      <c r="C50" s="2">
        <f>C49+C44</f>
        <v>71180.268099999987</v>
      </c>
      <c r="D50" s="2">
        <f t="shared" ref="D50:U50" si="16">D49+D44</f>
        <v>139.38</v>
      </c>
      <c r="E50" s="2">
        <f t="shared" si="16"/>
        <v>1886.3420000000001</v>
      </c>
      <c r="F50" s="2">
        <f t="shared" si="16"/>
        <v>0</v>
      </c>
      <c r="G50" s="2">
        <f t="shared" si="16"/>
        <v>0</v>
      </c>
      <c r="H50" s="2">
        <f t="shared" si="16"/>
        <v>71319.648099999991</v>
      </c>
      <c r="I50" s="2">
        <f t="shared" si="16"/>
        <v>391.70499999999998</v>
      </c>
      <c r="J50" s="2">
        <f t="shared" si="16"/>
        <v>51.160000000000004</v>
      </c>
      <c r="K50" s="2">
        <f t="shared" si="16"/>
        <v>166.26999999999998</v>
      </c>
      <c r="L50" s="2">
        <f t="shared" si="16"/>
        <v>0</v>
      </c>
      <c r="M50" s="2">
        <f t="shared" si="16"/>
        <v>0</v>
      </c>
      <c r="N50" s="2">
        <f t="shared" si="16"/>
        <v>442.86500000000001</v>
      </c>
      <c r="O50" s="2">
        <f t="shared" si="16"/>
        <v>310.17</v>
      </c>
      <c r="P50" s="2">
        <f t="shared" si="16"/>
        <v>139.94999999999999</v>
      </c>
      <c r="Q50" s="2">
        <f t="shared" si="16"/>
        <v>396.32000000000005</v>
      </c>
      <c r="R50" s="2">
        <f t="shared" si="16"/>
        <v>0</v>
      </c>
      <c r="S50" s="2">
        <f t="shared" si="16"/>
        <v>0</v>
      </c>
      <c r="T50" s="2">
        <f t="shared" si="16"/>
        <v>450.12</v>
      </c>
      <c r="U50" s="2">
        <f t="shared" si="16"/>
        <v>72212.633099999992</v>
      </c>
    </row>
    <row r="51" spans="1:21" s="7" customFormat="1" ht="38.25" customHeight="1">
      <c r="A51" s="100"/>
      <c r="B51" s="102" t="s">
        <v>56</v>
      </c>
      <c r="C51" s="2">
        <f>C50+C39+C25</f>
        <v>117730.5379</v>
      </c>
      <c r="D51" s="2">
        <f t="shared" ref="D51:U51" si="17">D50+D39+D25</f>
        <v>352.07499999999999</v>
      </c>
      <c r="E51" s="2">
        <f t="shared" si="17"/>
        <v>2939.1930000000002</v>
      </c>
      <c r="F51" s="2">
        <f t="shared" si="17"/>
        <v>184.37</v>
      </c>
      <c r="G51" s="2">
        <f t="shared" si="17"/>
        <v>453.44000000000005</v>
      </c>
      <c r="H51" s="53">
        <f t="shared" si="17"/>
        <v>117898.2429</v>
      </c>
      <c r="I51" s="2">
        <f t="shared" si="17"/>
        <v>9897.5149999999994</v>
      </c>
      <c r="J51" s="2">
        <f t="shared" si="17"/>
        <v>224.34499999999997</v>
      </c>
      <c r="K51" s="2">
        <f t="shared" si="17"/>
        <v>1535.5859999999998</v>
      </c>
      <c r="L51" s="2">
        <f t="shared" si="17"/>
        <v>0</v>
      </c>
      <c r="M51" s="2">
        <f t="shared" si="17"/>
        <v>7.51</v>
      </c>
      <c r="N51" s="53">
        <f t="shared" si="17"/>
        <v>10121.86</v>
      </c>
      <c r="O51" s="2">
        <f t="shared" si="17"/>
        <v>1287.94</v>
      </c>
      <c r="P51" s="2">
        <f t="shared" si="17"/>
        <v>140.25</v>
      </c>
      <c r="Q51" s="2">
        <f t="shared" si="17"/>
        <v>522.85</v>
      </c>
      <c r="R51" s="2">
        <f t="shared" si="17"/>
        <v>11.9</v>
      </c>
      <c r="S51" s="2">
        <f t="shared" si="17"/>
        <v>48.040000000000006</v>
      </c>
      <c r="T51" s="53">
        <f t="shared" si="17"/>
        <v>1416.29</v>
      </c>
      <c r="U51" s="2">
        <f t="shared" si="17"/>
        <v>129436.39290000001</v>
      </c>
    </row>
    <row r="52" spans="1:21" s="7" customFormat="1" ht="28.5" customHeight="1">
      <c r="A52" s="18"/>
      <c r="B52" s="2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98"/>
      <c r="J53" s="98">
        <f>D51+J51+P51-F51-L51-R51</f>
        <v>520.4</v>
      </c>
      <c r="K53" s="98"/>
      <c r="L53" s="98"/>
      <c r="M53" s="98"/>
      <c r="N53" s="98"/>
      <c r="R53" s="98"/>
      <c r="U53" s="98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98"/>
      <c r="J54" s="98">
        <f>E51+K51+Q51-G51-M51-S51</f>
        <v>4488.6390000000001</v>
      </c>
      <c r="K54" s="98"/>
      <c r="L54" s="98"/>
      <c r="M54" s="98"/>
      <c r="N54" s="98"/>
      <c r="R54" s="98"/>
      <c r="T54" s="98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129436.39289999999</v>
      </c>
      <c r="K55" s="4"/>
      <c r="L55" s="4"/>
      <c r="M55" s="78"/>
      <c r="N55" s="4"/>
      <c r="P55" s="18"/>
      <c r="Q55" s="20"/>
      <c r="U55" s="20"/>
    </row>
    <row r="56" spans="1:21" ht="33" customHeight="1">
      <c r="C56" s="21"/>
      <c r="D56" s="98"/>
      <c r="E56" s="98"/>
      <c r="F56" s="98"/>
      <c r="G56" s="98"/>
      <c r="H56" s="4"/>
      <c r="I56" s="19"/>
      <c r="J56" s="98"/>
      <c r="K56" s="4"/>
      <c r="L56" s="61"/>
      <c r="M56" s="4"/>
      <c r="N56" s="11">
        <f>'[1]sep 2020 '!J56+'Oct 2022'!J53</f>
        <v>117271.31089999998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2021'!J55+'Oct 2022'!J53</f>
        <v>120736.91889999999</v>
      </c>
      <c r="N57" s="7"/>
      <c r="O57" s="3"/>
      <c r="P57" s="99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97"/>
      <c r="L58" s="10"/>
      <c r="M58" s="7"/>
      <c r="N58" s="29">
        <f>'[2]July 2021'!J55+'Oct 2022'!J53</f>
        <v>121525.66989999998</v>
      </c>
      <c r="O58" s="29">
        <f>'[2]April 2021'!J55+'Oct 2022'!J53</f>
        <v>120736.91889999999</v>
      </c>
      <c r="P58" s="99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2021'!J55+'Oct 2022'!J53</f>
        <v>120216.10789999999</v>
      </c>
      <c r="J59" s="143" t="s">
        <v>63</v>
      </c>
      <c r="K59" s="143"/>
      <c r="L59" s="143"/>
      <c r="M59" s="11" t="e">
        <f>#REF!+'Oct 2022'!J53</f>
        <v>#REF!</v>
      </c>
      <c r="N59" s="4"/>
    </row>
    <row r="60" spans="1:21" ht="37.5" customHeight="1">
      <c r="G60" s="4"/>
      <c r="H60" s="11">
        <f>H51+N51+T51</f>
        <v>129436.39289999999</v>
      </c>
      <c r="J60" s="143" t="s">
        <v>64</v>
      </c>
      <c r="K60" s="143"/>
      <c r="L60" s="143"/>
      <c r="M60" s="11" t="e">
        <f>#REF!+'Oct 2022'!J53</f>
        <v>#REF!</v>
      </c>
      <c r="O60" s="78">
        <f>'Aug 2022  '!J55+'Oct 2022'!J53</f>
        <v>128704.30689999998</v>
      </c>
    </row>
    <row r="61" spans="1:21">
      <c r="H61" s="23"/>
    </row>
    <row r="62" spans="1:21">
      <c r="G62" s="4"/>
      <c r="H62" s="11">
        <f>'[1]nov 2020'!J56+'Oct 2022'!J53</f>
        <v>119135.25089999998</v>
      </c>
      <c r="I62" s="24"/>
      <c r="J62" s="23"/>
    </row>
    <row r="63" spans="1:21">
      <c r="H63" s="11">
        <f>'[1]nov 2020'!J56+'Oct 2022'!J53</f>
        <v>119135.25089999998</v>
      </c>
      <c r="I63" s="30">
        <f>'[2]June 2021)'!J55+'Oct 2022'!J53</f>
        <v>121196.8989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 ht="63">
      <c r="H66" s="23"/>
      <c r="I66" s="24"/>
      <c r="J66" s="23"/>
      <c r="K66" s="108">
        <v>160.51</v>
      </c>
      <c r="L66" s="108" t="s">
        <v>79</v>
      </c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2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F1" zoomScale="39" zoomScaleNormal="39" workbookViewId="0">
      <pane ySplit="6" topLeftCell="A51" activePane="bottomLeft" state="frozen"/>
      <selection pane="bottomLeft" activeCell="C52" sqref="C52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16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" customHeight="1">
      <c r="A2" s="137" t="s">
        <v>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24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s="15" customFormat="1" ht="43.5" customHeight="1">
      <c r="A4" s="135" t="s">
        <v>1</v>
      </c>
      <c r="B4" s="139" t="s">
        <v>2</v>
      </c>
      <c r="C4" s="135" t="s">
        <v>3</v>
      </c>
      <c r="D4" s="135"/>
      <c r="E4" s="135"/>
      <c r="F4" s="135"/>
      <c r="G4" s="135"/>
      <c r="H4" s="135"/>
      <c r="I4" s="135" t="s">
        <v>4</v>
      </c>
      <c r="J4" s="138"/>
      <c r="K4" s="138"/>
      <c r="L4" s="138"/>
      <c r="M4" s="138"/>
      <c r="N4" s="138"/>
      <c r="O4" s="135" t="s">
        <v>5</v>
      </c>
      <c r="P4" s="138"/>
      <c r="Q4" s="138"/>
      <c r="R4" s="138"/>
      <c r="S4" s="138"/>
      <c r="T4" s="138"/>
      <c r="U4" s="113"/>
    </row>
    <row r="5" spans="1:21" s="15" customFormat="1" ht="54.75" customHeight="1">
      <c r="A5" s="138"/>
      <c r="B5" s="140"/>
      <c r="C5" s="135" t="s">
        <v>6</v>
      </c>
      <c r="D5" s="135" t="s">
        <v>7</v>
      </c>
      <c r="E5" s="135"/>
      <c r="F5" s="135" t="s">
        <v>8</v>
      </c>
      <c r="G5" s="135"/>
      <c r="H5" s="135" t="s">
        <v>9</v>
      </c>
      <c r="I5" s="135" t="s">
        <v>6</v>
      </c>
      <c r="J5" s="135" t="s">
        <v>7</v>
      </c>
      <c r="K5" s="135"/>
      <c r="L5" s="135" t="s">
        <v>8</v>
      </c>
      <c r="M5" s="135"/>
      <c r="N5" s="135" t="s">
        <v>9</v>
      </c>
      <c r="O5" s="135" t="s">
        <v>6</v>
      </c>
      <c r="P5" s="135" t="s">
        <v>7</v>
      </c>
      <c r="Q5" s="135"/>
      <c r="R5" s="135" t="s">
        <v>8</v>
      </c>
      <c r="S5" s="135"/>
      <c r="T5" s="135" t="s">
        <v>9</v>
      </c>
      <c r="U5" s="135" t="s">
        <v>10</v>
      </c>
    </row>
    <row r="6" spans="1:21" s="15" customFormat="1" ht="38.25" customHeight="1">
      <c r="A6" s="138"/>
      <c r="B6" s="140"/>
      <c r="C6" s="138"/>
      <c r="D6" s="112" t="s">
        <v>11</v>
      </c>
      <c r="E6" s="112" t="s">
        <v>12</v>
      </c>
      <c r="F6" s="112" t="s">
        <v>11</v>
      </c>
      <c r="G6" s="112" t="s">
        <v>12</v>
      </c>
      <c r="H6" s="135"/>
      <c r="I6" s="138"/>
      <c r="J6" s="112" t="s">
        <v>11</v>
      </c>
      <c r="K6" s="112" t="s">
        <v>12</v>
      </c>
      <c r="L6" s="112" t="s">
        <v>11</v>
      </c>
      <c r="M6" s="112" t="s">
        <v>12</v>
      </c>
      <c r="N6" s="135"/>
      <c r="O6" s="138"/>
      <c r="P6" s="112" t="s">
        <v>11</v>
      </c>
      <c r="Q6" s="112" t="s">
        <v>12</v>
      </c>
      <c r="R6" s="112" t="s">
        <v>11</v>
      </c>
      <c r="S6" s="112" t="s">
        <v>12</v>
      </c>
      <c r="T6" s="135"/>
      <c r="U6" s="135"/>
    </row>
    <row r="7" spans="1:21" ht="38.25" customHeight="1">
      <c r="A7" s="113">
        <v>1</v>
      </c>
      <c r="B7" s="115" t="s">
        <v>13</v>
      </c>
      <c r="C7" s="1">
        <f>'Oct 2022'!H7</f>
        <v>13.179999999999982</v>
      </c>
      <c r="D7" s="1">
        <v>0</v>
      </c>
      <c r="E7" s="1">
        <f>'Oct 2022'!E7+'Nov 2022'!D7</f>
        <v>0</v>
      </c>
      <c r="F7" s="1">
        <v>6</v>
      </c>
      <c r="G7" s="1">
        <f>'Oct 2022'!G7+'Nov 2022'!F7</f>
        <v>82.86</v>
      </c>
      <c r="H7" s="117">
        <f>C7+D7-F7</f>
        <v>7.179999999999982</v>
      </c>
      <c r="I7" s="1">
        <f>'Oct 2022'!N7</f>
        <v>687.68299999999977</v>
      </c>
      <c r="J7" s="1">
        <v>2.4430000000000001</v>
      </c>
      <c r="K7" s="1">
        <f>'Oct 2022'!K7+'Nov 2022'!J7</f>
        <v>105.90899999999999</v>
      </c>
      <c r="L7" s="1">
        <v>0</v>
      </c>
      <c r="M7" s="1">
        <f>'Oct 2022'!M7+'Nov 2022'!L7</f>
        <v>0</v>
      </c>
      <c r="N7" s="117">
        <f>I7+J7-L7</f>
        <v>690.12599999999975</v>
      </c>
      <c r="O7" s="1">
        <f>'Oct 2022'!T7</f>
        <v>8.436000000000007</v>
      </c>
      <c r="P7" s="1">
        <v>0</v>
      </c>
      <c r="Q7" s="1">
        <f>'Oct 2022'!Q7+'Nov 2022'!P7</f>
        <v>0</v>
      </c>
      <c r="R7" s="1">
        <v>0</v>
      </c>
      <c r="S7" s="1">
        <f>'Oct 2022'!S7+'Nov 2022'!R7</f>
        <v>1.01</v>
      </c>
      <c r="T7" s="1">
        <f>O7+P7-R7</f>
        <v>8.436000000000007</v>
      </c>
      <c r="U7" s="117">
        <f>H7+N7+T7</f>
        <v>705.74199999999973</v>
      </c>
    </row>
    <row r="8" spans="1:21" ht="38.25" customHeight="1">
      <c r="A8" s="113">
        <v>2</v>
      </c>
      <c r="B8" s="115" t="s">
        <v>14</v>
      </c>
      <c r="C8" s="1">
        <f>'Oct 2022'!H8</f>
        <v>265.39</v>
      </c>
      <c r="D8" s="1">
        <v>0</v>
      </c>
      <c r="E8" s="1">
        <f>'Oct 2022'!E8+'Nov 2022'!D8</f>
        <v>0</v>
      </c>
      <c r="F8" s="1">
        <v>0</v>
      </c>
      <c r="G8" s="1">
        <f>'Oct 2022'!G8+'Nov 2022'!F8</f>
        <v>0</v>
      </c>
      <c r="H8" s="117">
        <f t="shared" ref="H8:H48" si="0">C8+D8-F8</f>
        <v>265.39</v>
      </c>
      <c r="I8" s="1">
        <f>'Oct 2022'!N8</f>
        <v>352.58500000000004</v>
      </c>
      <c r="J8" s="1">
        <v>12.795</v>
      </c>
      <c r="K8" s="1">
        <f>'Oct 2022'!K8+'Nov 2022'!J8</f>
        <v>53.400000000000006</v>
      </c>
      <c r="L8" s="1">
        <v>0</v>
      </c>
      <c r="M8" s="1">
        <f>'Oct 2022'!M8+'Nov 2022'!L8</f>
        <v>0</v>
      </c>
      <c r="N8" s="117">
        <f t="shared" ref="N8:N48" si="1">I8+J8-L8</f>
        <v>365.38000000000005</v>
      </c>
      <c r="O8" s="1">
        <f>'Oct 2022'!T8</f>
        <v>66.290000000000006</v>
      </c>
      <c r="P8" s="1">
        <v>0</v>
      </c>
      <c r="Q8" s="1">
        <f>'Oct 2022'!Q8+'Nov 2022'!P8</f>
        <v>0</v>
      </c>
      <c r="R8" s="1">
        <v>0</v>
      </c>
      <c r="S8" s="1">
        <f>'Oct 2022'!S8+'Nov 2022'!R8</f>
        <v>0</v>
      </c>
      <c r="T8" s="1">
        <f t="shared" ref="T8:T48" si="2">O8+P8-R8</f>
        <v>66.290000000000006</v>
      </c>
      <c r="U8" s="117">
        <f t="shared" ref="U8:U48" si="3">H8+N8+T8</f>
        <v>697.06</v>
      </c>
    </row>
    <row r="9" spans="1:21" ht="38.25" customHeight="1">
      <c r="A9" s="113">
        <v>3</v>
      </c>
      <c r="B9" s="115" t="s">
        <v>15</v>
      </c>
      <c r="C9" s="1">
        <f>'Oct 2022'!H9</f>
        <v>209.16</v>
      </c>
      <c r="D9" s="1">
        <v>0</v>
      </c>
      <c r="E9" s="1">
        <f>'Oct 2022'!E9+'Nov 2022'!D9</f>
        <v>0</v>
      </c>
      <c r="F9" s="1">
        <v>0</v>
      </c>
      <c r="G9" s="1">
        <f>'Oct 2022'!G9+'Nov 2022'!F9</f>
        <v>0</v>
      </c>
      <c r="H9" s="117">
        <f t="shared" si="0"/>
        <v>209.16</v>
      </c>
      <c r="I9" s="1">
        <f>'Oct 2022'!N9</f>
        <v>863.69800000000009</v>
      </c>
      <c r="J9" s="1">
        <v>8.02</v>
      </c>
      <c r="K9" s="1">
        <f>'Oct 2022'!K9+'Nov 2022'!J9</f>
        <v>115.16999999999999</v>
      </c>
      <c r="L9" s="1">
        <v>0</v>
      </c>
      <c r="M9" s="1">
        <f>'Oct 2022'!M9+'Nov 2022'!L9</f>
        <v>0</v>
      </c>
      <c r="N9" s="117">
        <f t="shared" si="1"/>
        <v>871.71800000000007</v>
      </c>
      <c r="O9" s="1">
        <f>'Oct 2022'!T9</f>
        <v>44.739999999999995</v>
      </c>
      <c r="P9" s="1">
        <v>0</v>
      </c>
      <c r="Q9" s="1">
        <f>'Oct 2022'!Q9+'Nov 2022'!P9</f>
        <v>0</v>
      </c>
      <c r="R9" s="1">
        <v>0</v>
      </c>
      <c r="S9" s="1">
        <f>'Oct 2022'!S9+'Nov 2022'!R9</f>
        <v>0</v>
      </c>
      <c r="T9" s="1">
        <f t="shared" si="2"/>
        <v>44.739999999999995</v>
      </c>
      <c r="U9" s="117">
        <f t="shared" si="3"/>
        <v>1125.6180000000002</v>
      </c>
    </row>
    <row r="10" spans="1:21" s="7" customFormat="1" ht="38.25" customHeight="1">
      <c r="A10" s="113">
        <v>4</v>
      </c>
      <c r="B10" s="115" t="s">
        <v>16</v>
      </c>
      <c r="C10" s="1">
        <f>'Oct 2022'!H10</f>
        <v>0</v>
      </c>
      <c r="D10" s="1">
        <v>0</v>
      </c>
      <c r="E10" s="1">
        <f>'Oct 2022'!E10+'Nov 2022'!D10</f>
        <v>0</v>
      </c>
      <c r="F10" s="1">
        <v>0</v>
      </c>
      <c r="G10" s="1">
        <f>'Oct 2022'!G10+'Nov 2022'!F10</f>
        <v>0</v>
      </c>
      <c r="H10" s="117">
        <f t="shared" si="0"/>
        <v>0</v>
      </c>
      <c r="I10" s="1">
        <f>'Oct 2022'!N10</f>
        <v>350.46999999999991</v>
      </c>
      <c r="J10" s="1">
        <v>0.79</v>
      </c>
      <c r="K10" s="1">
        <f>'Oct 2022'!K10+'Nov 2022'!J10</f>
        <v>8.8850000000000016</v>
      </c>
      <c r="L10" s="1">
        <v>0</v>
      </c>
      <c r="M10" s="1">
        <f>'Oct 2022'!M10+'Nov 2022'!L10</f>
        <v>0</v>
      </c>
      <c r="N10" s="117">
        <f t="shared" si="1"/>
        <v>351.25999999999993</v>
      </c>
      <c r="O10" s="1">
        <f>'Oct 2022'!T10</f>
        <v>0.20000000000000007</v>
      </c>
      <c r="P10" s="1">
        <v>0</v>
      </c>
      <c r="Q10" s="1">
        <f>'Oct 2022'!Q10+'Nov 2022'!P10</f>
        <v>0</v>
      </c>
      <c r="R10" s="1">
        <v>0</v>
      </c>
      <c r="S10" s="1">
        <f>'Oct 2022'!S10+'Nov 2022'!R10</f>
        <v>0</v>
      </c>
      <c r="T10" s="1">
        <f t="shared" si="2"/>
        <v>0.20000000000000007</v>
      </c>
      <c r="U10" s="117">
        <f t="shared" si="3"/>
        <v>351.45999999999992</v>
      </c>
    </row>
    <row r="11" spans="1:21" s="7" customFormat="1" ht="38.25" customHeight="1">
      <c r="A11" s="112"/>
      <c r="B11" s="118" t="s">
        <v>17</v>
      </c>
      <c r="C11" s="2">
        <f>SUM(C7:C10)</f>
        <v>487.73</v>
      </c>
      <c r="D11" s="2">
        <f t="shared" ref="D11:U11" si="4">SUM(D7:D10)</f>
        <v>0</v>
      </c>
      <c r="E11" s="2">
        <f t="shared" si="4"/>
        <v>0</v>
      </c>
      <c r="F11" s="2">
        <f t="shared" si="4"/>
        <v>6</v>
      </c>
      <c r="G11" s="2">
        <f t="shared" si="4"/>
        <v>82.86</v>
      </c>
      <c r="H11" s="2">
        <f t="shared" si="4"/>
        <v>481.73</v>
      </c>
      <c r="I11" s="2">
        <f t="shared" si="4"/>
        <v>2254.4359999999997</v>
      </c>
      <c r="J11" s="2">
        <f t="shared" si="4"/>
        <v>24.047999999999998</v>
      </c>
      <c r="K11" s="2">
        <f t="shared" si="4"/>
        <v>283.36399999999998</v>
      </c>
      <c r="L11" s="2">
        <f t="shared" si="4"/>
        <v>0</v>
      </c>
      <c r="M11" s="2">
        <f t="shared" si="4"/>
        <v>0</v>
      </c>
      <c r="N11" s="2">
        <f t="shared" si="4"/>
        <v>2278.4839999999999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2">
        <f t="shared" si="4"/>
        <v>119.66600000000001</v>
      </c>
      <c r="U11" s="2">
        <f t="shared" si="4"/>
        <v>2879.88</v>
      </c>
    </row>
    <row r="12" spans="1:21" ht="38.25" customHeight="1">
      <c r="A12" s="113">
        <v>5</v>
      </c>
      <c r="B12" s="115" t="s">
        <v>18</v>
      </c>
      <c r="C12" s="1">
        <f>'Oct 2022'!H12</f>
        <v>220.19999999999959</v>
      </c>
      <c r="D12" s="1">
        <v>0</v>
      </c>
      <c r="E12" s="1">
        <f>'Oct 2022'!E12+'Nov 2022'!D12</f>
        <v>0</v>
      </c>
      <c r="F12" s="106">
        <v>78.2</v>
      </c>
      <c r="G12" s="1">
        <f>'Oct 2022'!G12+'Nov 2022'!F12</f>
        <v>213.31</v>
      </c>
      <c r="H12" s="117">
        <f t="shared" si="0"/>
        <v>141.9999999999996</v>
      </c>
      <c r="I12" s="1">
        <f>'Oct 2022'!N12</f>
        <v>1129.5149999999999</v>
      </c>
      <c r="J12" s="31">
        <v>19.809999999999999</v>
      </c>
      <c r="K12" s="1">
        <f>'Oct 2022'!K12+'Nov 2022'!J12</f>
        <v>238.57999999999998</v>
      </c>
      <c r="L12" s="1">
        <v>0</v>
      </c>
      <c r="M12" s="1">
        <f>'Oct 2022'!M12+'Nov 2022'!L12</f>
        <v>0</v>
      </c>
      <c r="N12" s="117">
        <f t="shared" si="1"/>
        <v>1149.3249999999998</v>
      </c>
      <c r="O12" s="1">
        <f>'Oct 2022'!T12</f>
        <v>24.95000000000001</v>
      </c>
      <c r="P12" s="1">
        <v>0</v>
      </c>
      <c r="Q12" s="1">
        <f>'Oct 2022'!Q12+'Nov 2022'!P12</f>
        <v>0</v>
      </c>
      <c r="R12" s="96">
        <v>2.11</v>
      </c>
      <c r="S12" s="1">
        <f>'Oct 2022'!S12+'Nov 2022'!R12</f>
        <v>14.01</v>
      </c>
      <c r="T12" s="1">
        <f t="shared" si="2"/>
        <v>22.840000000000011</v>
      </c>
      <c r="U12" s="117">
        <f t="shared" si="3"/>
        <v>1314.1649999999993</v>
      </c>
    </row>
    <row r="13" spans="1:21" ht="38.25" customHeight="1">
      <c r="A13" s="113">
        <v>6</v>
      </c>
      <c r="B13" s="115" t="s">
        <v>19</v>
      </c>
      <c r="C13" s="1">
        <f>'Oct 2022'!H13</f>
        <v>312.23000000000013</v>
      </c>
      <c r="D13" s="1">
        <v>0</v>
      </c>
      <c r="E13" s="1">
        <f>'Oct 2022'!E13+'Nov 2022'!D13</f>
        <v>0</v>
      </c>
      <c r="F13" s="1">
        <v>0</v>
      </c>
      <c r="G13" s="1">
        <f>'Oct 2022'!G13+'Nov 2022'!F13</f>
        <v>0</v>
      </c>
      <c r="H13" s="117">
        <f t="shared" si="0"/>
        <v>312.23000000000013</v>
      </c>
      <c r="I13" s="1">
        <f>'Oct 2022'!N13</f>
        <v>534.54200000000014</v>
      </c>
      <c r="J13" s="31">
        <v>2.75</v>
      </c>
      <c r="K13" s="1">
        <f>'Oct 2022'!K13+'Nov 2022'!J13</f>
        <v>9.4600000000000009</v>
      </c>
      <c r="L13" s="1">
        <v>0</v>
      </c>
      <c r="M13" s="1">
        <f>'Oct 2022'!M13+'Nov 2022'!L13</f>
        <v>0.7</v>
      </c>
      <c r="N13" s="117">
        <f t="shared" si="1"/>
        <v>537.29200000000014</v>
      </c>
      <c r="O13" s="1">
        <f>'Oct 2022'!T13</f>
        <v>68.39</v>
      </c>
      <c r="P13" s="1">
        <v>0</v>
      </c>
      <c r="Q13" s="1">
        <f>'Oct 2022'!Q13+'Nov 2022'!P13</f>
        <v>0</v>
      </c>
      <c r="R13" s="1">
        <v>0</v>
      </c>
      <c r="S13" s="1">
        <f>'Oct 2022'!S13+'Nov 2022'!R13</f>
        <v>0</v>
      </c>
      <c r="T13" s="1">
        <f t="shared" si="2"/>
        <v>68.39</v>
      </c>
      <c r="U13" s="117">
        <f t="shared" si="3"/>
        <v>917.91200000000026</v>
      </c>
    </row>
    <row r="14" spans="1:21" s="7" customFormat="1" ht="38.25" customHeight="1">
      <c r="A14" s="113">
        <v>7</v>
      </c>
      <c r="B14" s="115" t="s">
        <v>20</v>
      </c>
      <c r="C14" s="1">
        <f>'Oct 2022'!H14</f>
        <v>1216.4399999999994</v>
      </c>
      <c r="D14" s="1">
        <v>0</v>
      </c>
      <c r="E14" s="1">
        <f>'Oct 2022'!E14+'Nov 2022'!D14</f>
        <v>0</v>
      </c>
      <c r="F14" s="1">
        <v>0</v>
      </c>
      <c r="G14" s="1">
        <f>'Oct 2022'!G14+'Nov 2022'!F14</f>
        <v>0</v>
      </c>
      <c r="H14" s="117">
        <f t="shared" si="0"/>
        <v>1216.4399999999994</v>
      </c>
      <c r="I14" s="1">
        <f>'Oct 2022'!N14</f>
        <v>885.93800000000022</v>
      </c>
      <c r="J14" s="31">
        <v>3.79</v>
      </c>
      <c r="K14" s="1">
        <f>'Oct 2022'!K14+'Nov 2022'!J14</f>
        <v>24.94</v>
      </c>
      <c r="L14" s="1">
        <v>0</v>
      </c>
      <c r="M14" s="1">
        <f>'Oct 2022'!M14+'Nov 2022'!L14</f>
        <v>0</v>
      </c>
      <c r="N14" s="117">
        <f t="shared" si="1"/>
        <v>889.72800000000018</v>
      </c>
      <c r="O14" s="1">
        <f>'Oct 2022'!T14</f>
        <v>61.329999999999991</v>
      </c>
      <c r="P14" s="1">
        <v>0</v>
      </c>
      <c r="Q14" s="1">
        <f>'Oct 2022'!Q14+'Nov 2022'!P14</f>
        <v>0</v>
      </c>
      <c r="R14" s="1">
        <v>0</v>
      </c>
      <c r="S14" s="1">
        <f>'Oct 2022'!S14+'Nov 2022'!R14</f>
        <v>0</v>
      </c>
      <c r="T14" s="1">
        <f t="shared" si="2"/>
        <v>61.329999999999991</v>
      </c>
      <c r="U14" s="117">
        <f t="shared" si="3"/>
        <v>2167.4979999999996</v>
      </c>
    </row>
    <row r="15" spans="1:21" s="7" customFormat="1" ht="38.25" customHeight="1">
      <c r="A15" s="112"/>
      <c r="B15" s="118" t="s">
        <v>21</v>
      </c>
      <c r="C15" s="2">
        <f>SUM(C12:C14)</f>
        <v>1748.869999999999</v>
      </c>
      <c r="D15" s="2">
        <f t="shared" ref="D15:U15" si="5">SUM(D12:D14)</f>
        <v>0</v>
      </c>
      <c r="E15" s="2">
        <f t="shared" si="5"/>
        <v>0</v>
      </c>
      <c r="F15" s="2">
        <f t="shared" si="5"/>
        <v>78.2</v>
      </c>
      <c r="G15" s="2">
        <f t="shared" si="5"/>
        <v>213.31</v>
      </c>
      <c r="H15" s="2">
        <f t="shared" si="5"/>
        <v>1670.6699999999992</v>
      </c>
      <c r="I15" s="2">
        <f t="shared" si="5"/>
        <v>2549.9950000000003</v>
      </c>
      <c r="J15" s="2">
        <f t="shared" si="5"/>
        <v>26.349999999999998</v>
      </c>
      <c r="K15" s="2">
        <f t="shared" si="5"/>
        <v>272.98</v>
      </c>
      <c r="L15" s="2">
        <f t="shared" si="5"/>
        <v>0</v>
      </c>
      <c r="M15" s="2">
        <f t="shared" si="5"/>
        <v>0.7</v>
      </c>
      <c r="N15" s="2">
        <f t="shared" si="5"/>
        <v>2576.3450000000003</v>
      </c>
      <c r="O15" s="2">
        <f t="shared" si="5"/>
        <v>154.66999999999999</v>
      </c>
      <c r="P15" s="2">
        <f t="shared" si="5"/>
        <v>0</v>
      </c>
      <c r="Q15" s="2">
        <f t="shared" si="5"/>
        <v>0</v>
      </c>
      <c r="R15" s="2">
        <f t="shared" si="5"/>
        <v>2.11</v>
      </c>
      <c r="S15" s="2">
        <f t="shared" si="5"/>
        <v>14.01</v>
      </c>
      <c r="T15" s="2">
        <f t="shared" si="5"/>
        <v>152.56</v>
      </c>
      <c r="U15" s="2">
        <f t="shared" si="5"/>
        <v>4399.5749999999989</v>
      </c>
    </row>
    <row r="16" spans="1:21" s="16" customFormat="1" ht="38.25" customHeight="1">
      <c r="A16" s="113">
        <v>8</v>
      </c>
      <c r="B16" s="115" t="s">
        <v>22</v>
      </c>
      <c r="C16" s="1">
        <f>'Oct 2022'!H16</f>
        <v>795.50400000000036</v>
      </c>
      <c r="D16" s="1">
        <v>0.57999999999999996</v>
      </c>
      <c r="E16" s="1">
        <f>'Oct 2022'!E16+'Nov 2022'!D16</f>
        <v>5.34</v>
      </c>
      <c r="F16" s="106">
        <v>5.22</v>
      </c>
      <c r="G16" s="1">
        <f>'Oct 2022'!G16+'Nov 2022'!F16</f>
        <v>208.32</v>
      </c>
      <c r="H16" s="117">
        <f t="shared" si="0"/>
        <v>790.86400000000037</v>
      </c>
      <c r="I16" s="1">
        <f>'Oct 2022'!N16</f>
        <v>568.06600000000003</v>
      </c>
      <c r="J16" s="1">
        <v>4.21</v>
      </c>
      <c r="K16" s="1">
        <f>'Oct 2022'!K16+'Nov 2022'!J16</f>
        <v>273.22999999999996</v>
      </c>
      <c r="L16" s="1">
        <v>0</v>
      </c>
      <c r="M16" s="1">
        <f>'Oct 2022'!M16+'Nov 2022'!L16</f>
        <v>0</v>
      </c>
      <c r="N16" s="117">
        <f t="shared" si="1"/>
        <v>572.27600000000007</v>
      </c>
      <c r="O16" s="1">
        <f>'Oct 2022'!T16</f>
        <v>177.41200000000003</v>
      </c>
      <c r="P16" s="1">
        <v>0</v>
      </c>
      <c r="Q16" s="1">
        <f>'Oct 2022'!Q16+'Nov 2022'!P16</f>
        <v>0</v>
      </c>
      <c r="R16" s="1">
        <v>0</v>
      </c>
      <c r="S16" s="1">
        <f>'Oct 2022'!S16+'Nov 2022'!R16</f>
        <v>0</v>
      </c>
      <c r="T16" s="1">
        <f t="shared" si="2"/>
        <v>177.41200000000003</v>
      </c>
      <c r="U16" s="117">
        <f t="shared" si="3"/>
        <v>1540.5520000000004</v>
      </c>
    </row>
    <row r="17" spans="1:23" ht="61.5" customHeight="1">
      <c r="A17" s="17">
        <v>9</v>
      </c>
      <c r="B17" s="26" t="s">
        <v>23</v>
      </c>
      <c r="C17" s="1">
        <f>'Oct 2022'!H17</f>
        <v>2.6759999999999478</v>
      </c>
      <c r="D17" s="1">
        <v>0</v>
      </c>
      <c r="E17" s="1">
        <f>'Oct 2022'!E17+'Nov 2022'!D17</f>
        <v>0</v>
      </c>
      <c r="F17" s="1">
        <v>0</v>
      </c>
      <c r="G17" s="1">
        <f>'Oct 2022'!G17+'Nov 2022'!F17</f>
        <v>3.74</v>
      </c>
      <c r="H17" s="117">
        <f t="shared" si="0"/>
        <v>2.6759999999999478</v>
      </c>
      <c r="I17" s="1">
        <f>'Oct 2022'!N17</f>
        <v>572.36</v>
      </c>
      <c r="J17" s="1">
        <v>4.9000000000000004</v>
      </c>
      <c r="K17" s="1">
        <f>'Oct 2022'!K17+'Nov 2022'!J17</f>
        <v>65.510000000000005</v>
      </c>
      <c r="L17" s="1">
        <v>0</v>
      </c>
      <c r="M17" s="1">
        <f>'Oct 2022'!M17+'Nov 2022'!L17</f>
        <v>0</v>
      </c>
      <c r="N17" s="117">
        <f t="shared" si="1"/>
        <v>577.26</v>
      </c>
      <c r="O17" s="1">
        <f>'Oct 2022'!T17</f>
        <v>1.9700000000000002</v>
      </c>
      <c r="P17" s="1">
        <v>0</v>
      </c>
      <c r="Q17" s="1">
        <f>'Oct 2022'!Q17+'Nov 2022'!P17</f>
        <v>1.3399999999999999</v>
      </c>
      <c r="R17" s="1">
        <v>0</v>
      </c>
      <c r="S17" s="1">
        <f>'Oct 2022'!S17+'Nov 2022'!R17</f>
        <v>5.7</v>
      </c>
      <c r="T17" s="1">
        <f t="shared" si="2"/>
        <v>1.9700000000000002</v>
      </c>
      <c r="U17" s="117">
        <f t="shared" si="3"/>
        <v>581.90599999999995</v>
      </c>
    </row>
    <row r="18" spans="1:23" s="7" customFormat="1" ht="38.25" customHeight="1">
      <c r="A18" s="113">
        <v>10</v>
      </c>
      <c r="B18" s="115" t="s">
        <v>24</v>
      </c>
      <c r="C18" s="1">
        <f>'Oct 2022'!H18</f>
        <v>136.87600000000012</v>
      </c>
      <c r="D18" s="1">
        <f>0.03+0.12</f>
        <v>0.15</v>
      </c>
      <c r="E18" s="1">
        <f>'Oct 2022'!E18+'Nov 2022'!D18</f>
        <v>1.25</v>
      </c>
      <c r="F18" s="1">
        <v>0</v>
      </c>
      <c r="G18" s="1">
        <f>'Oct 2022'!G18+'Nov 2022'!F18</f>
        <v>0</v>
      </c>
      <c r="H18" s="117">
        <f t="shared" si="0"/>
        <v>137.02600000000012</v>
      </c>
      <c r="I18" s="1">
        <f>'Oct 2022'!N18</f>
        <v>493.077</v>
      </c>
      <c r="J18" s="1">
        <v>0.75</v>
      </c>
      <c r="K18" s="1">
        <f>'Oct 2022'!K18+'Nov 2022'!J18</f>
        <v>6.7600000000000007</v>
      </c>
      <c r="L18" s="1">
        <v>0.34</v>
      </c>
      <c r="M18" s="1">
        <f>'Oct 2022'!M18+'Nov 2022'!L18</f>
        <v>0.34</v>
      </c>
      <c r="N18" s="117">
        <f t="shared" si="1"/>
        <v>493.48700000000002</v>
      </c>
      <c r="O18" s="1">
        <f>'Oct 2022'!T18</f>
        <v>39.469999999999992</v>
      </c>
      <c r="P18" s="1">
        <v>0.3</v>
      </c>
      <c r="Q18" s="1">
        <f>'Oct 2022'!Q18+'Nov 2022'!P18</f>
        <v>0.89999999999999991</v>
      </c>
      <c r="R18" s="1">
        <v>0</v>
      </c>
      <c r="S18" s="1">
        <f>'Oct 2022'!S18+'Nov 2022'!R18</f>
        <v>0</v>
      </c>
      <c r="T18" s="1">
        <f t="shared" si="2"/>
        <v>39.769999999999989</v>
      </c>
      <c r="U18" s="117">
        <f t="shared" si="3"/>
        <v>670.28300000000013</v>
      </c>
    </row>
    <row r="19" spans="1:23" s="7" customFormat="1" ht="38.25" customHeight="1">
      <c r="A19" s="112"/>
      <c r="B19" s="118" t="s">
        <v>25</v>
      </c>
      <c r="C19" s="2">
        <f>SUM(C16:C18)</f>
        <v>935.05600000000038</v>
      </c>
      <c r="D19" s="2">
        <f t="shared" ref="D19:U19" si="6">SUM(D16:D18)</f>
        <v>0.73</v>
      </c>
      <c r="E19" s="2">
        <f t="shared" si="6"/>
        <v>6.59</v>
      </c>
      <c r="F19" s="2">
        <f t="shared" si="6"/>
        <v>5.22</v>
      </c>
      <c r="G19" s="2">
        <f t="shared" si="6"/>
        <v>212.06</v>
      </c>
      <c r="H19" s="2">
        <f t="shared" si="6"/>
        <v>930.56600000000049</v>
      </c>
      <c r="I19" s="2">
        <f t="shared" si="6"/>
        <v>1633.5029999999999</v>
      </c>
      <c r="J19" s="2">
        <f t="shared" si="6"/>
        <v>9.86</v>
      </c>
      <c r="K19" s="2">
        <f t="shared" si="6"/>
        <v>345.49999999999994</v>
      </c>
      <c r="L19" s="2">
        <f t="shared" si="6"/>
        <v>0.34</v>
      </c>
      <c r="M19" s="2">
        <f t="shared" si="6"/>
        <v>0.34</v>
      </c>
      <c r="N19" s="2">
        <f t="shared" si="6"/>
        <v>1643.0230000000001</v>
      </c>
      <c r="O19" s="2">
        <f t="shared" si="6"/>
        <v>218.85200000000003</v>
      </c>
      <c r="P19" s="2">
        <f t="shared" si="6"/>
        <v>0.3</v>
      </c>
      <c r="Q19" s="2">
        <f t="shared" si="6"/>
        <v>2.2399999999999998</v>
      </c>
      <c r="R19" s="2">
        <f t="shared" si="6"/>
        <v>0</v>
      </c>
      <c r="S19" s="2">
        <f t="shared" si="6"/>
        <v>5.7</v>
      </c>
      <c r="T19" s="2">
        <f t="shared" si="6"/>
        <v>219.15200000000002</v>
      </c>
      <c r="U19" s="2">
        <f t="shared" si="6"/>
        <v>2792.7410000000009</v>
      </c>
    </row>
    <row r="20" spans="1:23" ht="38.25" customHeight="1">
      <c r="A20" s="113">
        <v>11</v>
      </c>
      <c r="B20" s="115" t="s">
        <v>26</v>
      </c>
      <c r="C20" s="1">
        <f>'Oct 2022'!H20</f>
        <v>607.27999999999986</v>
      </c>
      <c r="D20" s="1">
        <v>0</v>
      </c>
      <c r="E20" s="1">
        <f>'Oct 2022'!E20+'Nov 2022'!D20</f>
        <v>1.62</v>
      </c>
      <c r="F20" s="1">
        <v>0</v>
      </c>
      <c r="G20" s="1">
        <f>'Oct 2022'!G20+'Nov 2022'!F20</f>
        <v>24.91</v>
      </c>
      <c r="H20" s="117">
        <f t="shared" si="0"/>
        <v>607.27999999999986</v>
      </c>
      <c r="I20" s="1">
        <f>'Oct 2022'!N20</f>
        <v>726.06800000000021</v>
      </c>
      <c r="J20" s="1">
        <v>3.12</v>
      </c>
      <c r="K20" s="1">
        <f>'Oct 2022'!K20+'Nov 2022'!J20</f>
        <v>331.04</v>
      </c>
      <c r="L20" s="1">
        <v>0</v>
      </c>
      <c r="M20" s="1">
        <f>'Oct 2022'!M20+'Nov 2022'!L20</f>
        <v>1.04</v>
      </c>
      <c r="N20" s="117">
        <f t="shared" si="1"/>
        <v>729.18800000000022</v>
      </c>
      <c r="O20" s="1">
        <f>'Oct 2022'!T20</f>
        <v>37.580000000000005</v>
      </c>
      <c r="P20" s="1">
        <v>0</v>
      </c>
      <c r="Q20" s="1">
        <f>'Oct 2022'!Q20+'Nov 2022'!P20</f>
        <v>0</v>
      </c>
      <c r="R20" s="1">
        <v>0</v>
      </c>
      <c r="S20" s="1">
        <f>'Oct 2022'!S20+'Nov 2022'!R20</f>
        <v>2.77</v>
      </c>
      <c r="T20" s="1">
        <f t="shared" si="2"/>
        <v>37.580000000000005</v>
      </c>
      <c r="U20" s="117">
        <f t="shared" si="3"/>
        <v>1374.048</v>
      </c>
      <c r="W20" s="145"/>
    </row>
    <row r="21" spans="1:23" ht="38.25" customHeight="1">
      <c r="A21" s="113">
        <v>12</v>
      </c>
      <c r="B21" s="115" t="s">
        <v>27</v>
      </c>
      <c r="C21" s="1">
        <f>'Oct 2022'!H21</f>
        <v>22.51</v>
      </c>
      <c r="D21" s="1">
        <v>0</v>
      </c>
      <c r="E21" s="1">
        <f>'Oct 2022'!E21+'Nov 2022'!D21</f>
        <v>0</v>
      </c>
      <c r="F21" s="1">
        <v>0</v>
      </c>
      <c r="G21" s="1">
        <f>'Oct 2022'!G21+'Nov 2022'!F21</f>
        <v>0</v>
      </c>
      <c r="H21" s="117">
        <f t="shared" si="0"/>
        <v>22.51</v>
      </c>
      <c r="I21" s="1">
        <f>'Oct 2022'!N21</f>
        <v>420.62700000000007</v>
      </c>
      <c r="J21" s="1">
        <v>1.97</v>
      </c>
      <c r="K21" s="1">
        <f>'Oct 2022'!K21+'Nov 2022'!J21</f>
        <v>24.48</v>
      </c>
      <c r="L21" s="1">
        <v>0</v>
      </c>
      <c r="M21" s="1">
        <f>'Oct 2022'!M21+'Nov 2022'!L21</f>
        <v>0</v>
      </c>
      <c r="N21" s="117">
        <f t="shared" si="1"/>
        <v>422.59700000000009</v>
      </c>
      <c r="O21" s="1">
        <f>'Oct 2022'!T21</f>
        <v>19.489999999999998</v>
      </c>
      <c r="P21" s="1">
        <v>0</v>
      </c>
      <c r="Q21" s="1">
        <f>'Oct 2022'!Q21+'Nov 2022'!P21</f>
        <v>0.12</v>
      </c>
      <c r="R21" s="1">
        <v>0</v>
      </c>
      <c r="S21" s="1">
        <f>'Oct 2022'!S21+'Nov 2022'!R21</f>
        <v>0</v>
      </c>
      <c r="T21" s="1">
        <f t="shared" si="2"/>
        <v>19.489999999999998</v>
      </c>
      <c r="U21" s="117">
        <f t="shared" si="3"/>
        <v>464.59700000000009</v>
      </c>
      <c r="W21" s="145"/>
    </row>
    <row r="22" spans="1:23" s="7" customFormat="1" ht="38.25" customHeight="1">
      <c r="A22" s="113">
        <v>13</v>
      </c>
      <c r="B22" s="115" t="s">
        <v>28</v>
      </c>
      <c r="C22" s="1">
        <f>'Oct 2022'!H22</f>
        <v>22.430000000000021</v>
      </c>
      <c r="D22" s="1">
        <v>0</v>
      </c>
      <c r="E22" s="1">
        <f>'Oct 2022'!E22+'Nov 2022'!D22</f>
        <v>0</v>
      </c>
      <c r="F22" s="1">
        <v>0</v>
      </c>
      <c r="G22" s="1">
        <f>'Oct 2022'!G22+'Nov 2022'!F22</f>
        <v>0</v>
      </c>
      <c r="H22" s="117">
        <f t="shared" si="0"/>
        <v>22.430000000000021</v>
      </c>
      <c r="I22" s="1">
        <f>'Oct 2022'!N22</f>
        <v>695.15000000000009</v>
      </c>
      <c r="J22" s="1">
        <v>0.1</v>
      </c>
      <c r="K22" s="1">
        <f>'Oct 2022'!K22+'Nov 2022'!J22</f>
        <v>6.3599999999999994</v>
      </c>
      <c r="L22" s="1">
        <v>0</v>
      </c>
      <c r="M22" s="1">
        <f>'Oct 2022'!M22+'Nov 2022'!L22</f>
        <v>0.08</v>
      </c>
      <c r="N22" s="117">
        <f t="shared" si="1"/>
        <v>695.25000000000011</v>
      </c>
      <c r="O22" s="1">
        <f>'Oct 2022'!T22</f>
        <v>0.60000000000000098</v>
      </c>
      <c r="P22" s="1">
        <v>0</v>
      </c>
      <c r="Q22" s="1">
        <f>'Oct 2022'!Q22+'Nov 2022'!P22</f>
        <v>0</v>
      </c>
      <c r="R22" s="1">
        <v>0</v>
      </c>
      <c r="S22" s="1">
        <f>'Oct 2022'!S22+'Nov 2022'!R22</f>
        <v>0</v>
      </c>
      <c r="T22" s="1">
        <f t="shared" si="2"/>
        <v>0.60000000000000098</v>
      </c>
      <c r="U22" s="117">
        <f t="shared" si="3"/>
        <v>718.2800000000002</v>
      </c>
      <c r="W22" s="145"/>
    </row>
    <row r="23" spans="1:23" s="7" customFormat="1" ht="38.25" customHeight="1">
      <c r="A23" s="113">
        <v>14</v>
      </c>
      <c r="B23" s="115" t="s">
        <v>29</v>
      </c>
      <c r="C23" s="1">
        <f>'Oct 2022'!H23</f>
        <v>430.64</v>
      </c>
      <c r="D23" s="1">
        <v>0</v>
      </c>
      <c r="E23" s="1">
        <f>'Oct 2022'!E23+'Nov 2022'!D23</f>
        <v>3.4</v>
      </c>
      <c r="F23" s="1">
        <v>0</v>
      </c>
      <c r="G23" s="1">
        <f>'Oct 2022'!G23+'Nov 2022'!F23</f>
        <v>0</v>
      </c>
      <c r="H23" s="117">
        <f t="shared" si="0"/>
        <v>430.64</v>
      </c>
      <c r="I23" s="1">
        <f>'Oct 2022'!N23</f>
        <v>123.63500000000001</v>
      </c>
      <c r="J23" s="1">
        <v>1.69</v>
      </c>
      <c r="K23" s="1">
        <f>'Oct 2022'!K23+'Nov 2022'!J23</f>
        <v>23.44</v>
      </c>
      <c r="L23" s="1">
        <v>0</v>
      </c>
      <c r="M23" s="1">
        <f>'Oct 2022'!M23+'Nov 2022'!L23</f>
        <v>0</v>
      </c>
      <c r="N23" s="117">
        <f t="shared" si="1"/>
        <v>125.325</v>
      </c>
      <c r="O23" s="1">
        <f>'Oct 2022'!T23</f>
        <v>22.5</v>
      </c>
      <c r="P23" s="1">
        <v>0</v>
      </c>
      <c r="Q23" s="1">
        <f>'Oct 2022'!Q23+'Nov 2022'!P23</f>
        <v>0</v>
      </c>
      <c r="R23" s="1">
        <v>0</v>
      </c>
      <c r="S23" s="1">
        <f>'Oct 2022'!S23+'Nov 2022'!R23</f>
        <v>0</v>
      </c>
      <c r="T23" s="1">
        <f t="shared" si="2"/>
        <v>22.5</v>
      </c>
      <c r="U23" s="117">
        <f t="shared" si="3"/>
        <v>578.46500000000003</v>
      </c>
      <c r="W23" s="145"/>
    </row>
    <row r="24" spans="1:23" s="7" customFormat="1" ht="38.25" customHeight="1">
      <c r="A24" s="112"/>
      <c r="B24" s="118" t="s">
        <v>30</v>
      </c>
      <c r="C24" s="2">
        <f>SUM(C20:C23)</f>
        <v>1082.8599999999999</v>
      </c>
      <c r="D24" s="2">
        <f t="shared" ref="D24:U24" si="7">SUM(D20:D23)</f>
        <v>0</v>
      </c>
      <c r="E24" s="2">
        <f t="shared" si="7"/>
        <v>5.0199999999999996</v>
      </c>
      <c r="F24" s="2">
        <f t="shared" si="7"/>
        <v>0</v>
      </c>
      <c r="G24" s="2">
        <f t="shared" si="7"/>
        <v>24.91</v>
      </c>
      <c r="H24" s="2">
        <f t="shared" si="7"/>
        <v>1082.8599999999999</v>
      </c>
      <c r="I24" s="2">
        <f t="shared" si="7"/>
        <v>1965.4800000000002</v>
      </c>
      <c r="J24" s="2">
        <f t="shared" si="7"/>
        <v>6.879999999999999</v>
      </c>
      <c r="K24" s="2">
        <f t="shared" si="7"/>
        <v>385.32000000000005</v>
      </c>
      <c r="L24" s="2">
        <f t="shared" si="7"/>
        <v>0</v>
      </c>
      <c r="M24" s="2">
        <f t="shared" si="7"/>
        <v>1.1200000000000001</v>
      </c>
      <c r="N24" s="2">
        <f t="shared" si="7"/>
        <v>1972.3600000000004</v>
      </c>
      <c r="O24" s="2">
        <f t="shared" si="7"/>
        <v>80.170000000000016</v>
      </c>
      <c r="P24" s="2">
        <f t="shared" si="7"/>
        <v>0</v>
      </c>
      <c r="Q24" s="2">
        <f t="shared" si="7"/>
        <v>0.12</v>
      </c>
      <c r="R24" s="2">
        <f t="shared" si="7"/>
        <v>0</v>
      </c>
      <c r="S24" s="2">
        <f t="shared" si="7"/>
        <v>2.77</v>
      </c>
      <c r="T24" s="2">
        <f t="shared" si="7"/>
        <v>80.170000000000016</v>
      </c>
      <c r="U24" s="2">
        <f t="shared" si="7"/>
        <v>3135.3900000000003</v>
      </c>
    </row>
    <row r="25" spans="1:23" s="7" customFormat="1" ht="38.25" customHeight="1">
      <c r="A25" s="112"/>
      <c r="B25" s="114" t="s">
        <v>31</v>
      </c>
      <c r="C25" s="2">
        <f>C24+C19+C15+C11</f>
        <v>4254.5159999999996</v>
      </c>
      <c r="D25" s="2">
        <f t="shared" ref="D25:U25" si="8">D24+D19+D15+D11</f>
        <v>0.73</v>
      </c>
      <c r="E25" s="2">
        <f t="shared" si="8"/>
        <v>11.61</v>
      </c>
      <c r="F25" s="2">
        <f t="shared" si="8"/>
        <v>89.42</v>
      </c>
      <c r="G25" s="2">
        <f t="shared" si="8"/>
        <v>533.14</v>
      </c>
      <c r="H25" s="2">
        <f t="shared" si="8"/>
        <v>4165.8259999999991</v>
      </c>
      <c r="I25" s="2">
        <f t="shared" si="8"/>
        <v>8403.4140000000007</v>
      </c>
      <c r="J25" s="2">
        <f t="shared" si="8"/>
        <v>67.137999999999991</v>
      </c>
      <c r="K25" s="2">
        <f t="shared" si="8"/>
        <v>1287.164</v>
      </c>
      <c r="L25" s="2">
        <f t="shared" si="8"/>
        <v>0.34</v>
      </c>
      <c r="M25" s="2">
        <f t="shared" si="8"/>
        <v>2.16</v>
      </c>
      <c r="N25" s="2">
        <f t="shared" si="8"/>
        <v>8470.2120000000014</v>
      </c>
      <c r="O25" s="2">
        <f t="shared" si="8"/>
        <v>573.35800000000006</v>
      </c>
      <c r="P25" s="2">
        <f t="shared" si="8"/>
        <v>0.3</v>
      </c>
      <c r="Q25" s="2">
        <f t="shared" si="8"/>
        <v>2.36</v>
      </c>
      <c r="R25" s="2">
        <f t="shared" si="8"/>
        <v>2.11</v>
      </c>
      <c r="S25" s="2">
        <f t="shared" si="8"/>
        <v>23.490000000000002</v>
      </c>
      <c r="T25" s="2">
        <f t="shared" si="8"/>
        <v>571.548</v>
      </c>
      <c r="U25" s="2">
        <f t="shared" si="8"/>
        <v>13207.585999999999</v>
      </c>
    </row>
    <row r="26" spans="1:23" ht="38.25" customHeight="1">
      <c r="A26" s="113">
        <v>15</v>
      </c>
      <c r="B26" s="115" t="s">
        <v>32</v>
      </c>
      <c r="C26" s="1">
        <f>'Oct 2022'!H26</f>
        <v>1592.26</v>
      </c>
      <c r="D26" s="1">
        <v>5</v>
      </c>
      <c r="E26" s="1">
        <f>'Oct 2022'!E26+'Nov 2022'!D26</f>
        <v>44.279999999999994</v>
      </c>
      <c r="F26" s="1">
        <v>0</v>
      </c>
      <c r="G26" s="1">
        <f>'Oct 2022'!G26+'Nov 2022'!F26</f>
        <v>0</v>
      </c>
      <c r="H26" s="117">
        <f t="shared" si="0"/>
        <v>1597.26</v>
      </c>
      <c r="I26" s="1">
        <f>'Oct 2022'!N26</f>
        <v>68.349999999999994</v>
      </c>
      <c r="J26" s="1">
        <v>16.3</v>
      </c>
      <c r="K26" s="1">
        <f>'Oct 2022'!K26+'Nov 2022'!J26</f>
        <v>17.32</v>
      </c>
      <c r="L26" s="1">
        <v>0</v>
      </c>
      <c r="M26" s="1">
        <f>'Oct 2022'!M26+'Nov 2022'!L26</f>
        <v>0</v>
      </c>
      <c r="N26" s="117">
        <f t="shared" si="1"/>
        <v>84.649999999999991</v>
      </c>
      <c r="O26" s="1">
        <f>'Oct 2022'!T26</f>
        <v>16.11</v>
      </c>
      <c r="P26" s="1">
        <v>0</v>
      </c>
      <c r="Q26" s="1">
        <f>'Oct 2022'!Q26+'Nov 2022'!P26</f>
        <v>0</v>
      </c>
      <c r="R26" s="1">
        <v>0</v>
      </c>
      <c r="S26" s="1">
        <f>'Oct 2022'!S26+'Nov 2022'!R26</f>
        <v>0</v>
      </c>
      <c r="T26" s="1">
        <f t="shared" si="2"/>
        <v>16.11</v>
      </c>
      <c r="U26" s="117">
        <f t="shared" si="3"/>
        <v>1698.02</v>
      </c>
    </row>
    <row r="27" spans="1:23" s="7" customFormat="1" ht="38.25" customHeight="1">
      <c r="A27" s="113">
        <v>16</v>
      </c>
      <c r="B27" s="115" t="s">
        <v>33</v>
      </c>
      <c r="C27" s="1">
        <f>'Oct 2022'!H27</f>
        <v>5658.7550000000037</v>
      </c>
      <c r="D27" s="1">
        <v>7.14</v>
      </c>
      <c r="E27" s="1">
        <f>'Oct 2022'!E27+'Nov 2022'!D27</f>
        <v>89.19</v>
      </c>
      <c r="F27" s="1">
        <v>0</v>
      </c>
      <c r="G27" s="1">
        <f>'Oct 2022'!G27+'Nov 2022'!F27</f>
        <v>0</v>
      </c>
      <c r="H27" s="117">
        <f t="shared" si="0"/>
        <v>5665.8950000000041</v>
      </c>
      <c r="I27" s="1">
        <f>'Oct 2022'!N27</f>
        <v>604.76799999999992</v>
      </c>
      <c r="J27" s="1">
        <v>5.21</v>
      </c>
      <c r="K27" s="1">
        <f>'Oct 2022'!K27+'Nov 2022'!J27</f>
        <v>15.790000000000003</v>
      </c>
      <c r="L27" s="1">
        <v>0</v>
      </c>
      <c r="M27" s="1">
        <f>'Oct 2022'!M27+'Nov 2022'!L27</f>
        <v>0</v>
      </c>
      <c r="N27" s="117">
        <f t="shared" si="1"/>
        <v>609.97799999999995</v>
      </c>
      <c r="O27" s="1">
        <f>'Oct 2022'!T27</f>
        <v>33.590000000000003</v>
      </c>
      <c r="P27" s="1">
        <v>0</v>
      </c>
      <c r="Q27" s="1">
        <f>'Oct 2022'!Q27+'Nov 2022'!P27</f>
        <v>0.1</v>
      </c>
      <c r="R27" s="1">
        <v>0</v>
      </c>
      <c r="S27" s="1">
        <f>'Oct 2022'!S27+'Nov 2022'!R27</f>
        <v>0</v>
      </c>
      <c r="T27" s="1">
        <f t="shared" si="2"/>
        <v>33.590000000000003</v>
      </c>
      <c r="U27" s="117">
        <f t="shared" si="3"/>
        <v>6309.4630000000043</v>
      </c>
    </row>
    <row r="28" spans="1:23" s="7" customFormat="1" ht="38.25" customHeight="1">
      <c r="A28" s="112"/>
      <c r="B28" s="118" t="s">
        <v>34</v>
      </c>
      <c r="C28" s="2">
        <f>SUM(C26:C27)</f>
        <v>7251.015000000004</v>
      </c>
      <c r="D28" s="2">
        <f t="shared" ref="D28:U28" si="9">SUM(D26:D27)</f>
        <v>12.14</v>
      </c>
      <c r="E28" s="2">
        <f t="shared" si="9"/>
        <v>133.47</v>
      </c>
      <c r="F28" s="2">
        <f t="shared" si="9"/>
        <v>0</v>
      </c>
      <c r="G28" s="2">
        <f t="shared" si="9"/>
        <v>0</v>
      </c>
      <c r="H28" s="2">
        <f t="shared" si="9"/>
        <v>7263.1550000000043</v>
      </c>
      <c r="I28" s="2">
        <f t="shared" si="9"/>
        <v>673.11799999999994</v>
      </c>
      <c r="J28" s="2">
        <f t="shared" si="9"/>
        <v>21.51</v>
      </c>
      <c r="K28" s="2">
        <f t="shared" si="9"/>
        <v>33.11</v>
      </c>
      <c r="L28" s="2">
        <f t="shared" si="9"/>
        <v>0</v>
      </c>
      <c r="M28" s="2">
        <f t="shared" si="9"/>
        <v>0</v>
      </c>
      <c r="N28" s="2">
        <f t="shared" si="9"/>
        <v>694.62799999999993</v>
      </c>
      <c r="O28" s="2">
        <f t="shared" si="9"/>
        <v>49.7</v>
      </c>
      <c r="P28" s="2">
        <f t="shared" si="9"/>
        <v>0</v>
      </c>
      <c r="Q28" s="2">
        <f t="shared" si="9"/>
        <v>0.1</v>
      </c>
      <c r="R28" s="2">
        <f t="shared" si="9"/>
        <v>0</v>
      </c>
      <c r="S28" s="2">
        <f t="shared" si="9"/>
        <v>0</v>
      </c>
      <c r="T28" s="2">
        <f t="shared" si="9"/>
        <v>49.7</v>
      </c>
      <c r="U28" s="2">
        <f t="shared" si="9"/>
        <v>8007.4830000000038</v>
      </c>
    </row>
    <row r="29" spans="1:23" ht="38.25" customHeight="1">
      <c r="A29" s="113">
        <v>17</v>
      </c>
      <c r="B29" s="115" t="s">
        <v>35</v>
      </c>
      <c r="C29" s="1">
        <f>'Oct 2022'!H29+5.22</f>
        <v>4779.4880000000012</v>
      </c>
      <c r="D29" s="96">
        <f>2.08+44.75</f>
        <v>46.83</v>
      </c>
      <c r="E29" s="1">
        <f>'Oct 2022'!E29+'Nov 2022'!D29</f>
        <v>167.63</v>
      </c>
      <c r="F29" s="1">
        <v>0</v>
      </c>
      <c r="G29" s="1">
        <f>'Oct 2022'!G29+'Nov 2022'!F29</f>
        <v>0</v>
      </c>
      <c r="H29" s="1">
        <f t="shared" si="0"/>
        <v>4826.3180000000011</v>
      </c>
      <c r="I29" s="1">
        <f>'Oct 2022'!N29</f>
        <v>120.84000000000002</v>
      </c>
      <c r="J29" s="1">
        <v>0.02</v>
      </c>
      <c r="K29" s="1">
        <f>'Oct 2022'!K29+'Nov 2022'!J29</f>
        <v>1.4700000000000002</v>
      </c>
      <c r="L29" s="1">
        <v>0</v>
      </c>
      <c r="M29" s="1">
        <f>'Oct 2022'!M29+'Nov 2022'!L29</f>
        <v>0</v>
      </c>
      <c r="N29" s="117">
        <f t="shared" si="1"/>
        <v>120.86000000000001</v>
      </c>
      <c r="O29" s="1">
        <f>'Oct 2022'!T29</f>
        <v>34.52000000000001</v>
      </c>
      <c r="P29" s="1">
        <v>0</v>
      </c>
      <c r="Q29" s="1">
        <f>'Oct 2022'!Q29+'Nov 2022'!P29</f>
        <v>0</v>
      </c>
      <c r="R29" s="1">
        <v>0</v>
      </c>
      <c r="S29" s="1">
        <f>'Oct 2022'!S29+'Nov 2022'!R29</f>
        <v>23.2</v>
      </c>
      <c r="T29" s="117">
        <f t="shared" si="2"/>
        <v>34.52000000000001</v>
      </c>
      <c r="U29" s="1">
        <f t="shared" si="3"/>
        <v>4981.6980000000012</v>
      </c>
      <c r="W29" s="146"/>
    </row>
    <row r="30" spans="1:23" ht="54.75" customHeight="1">
      <c r="A30" s="113">
        <v>18</v>
      </c>
      <c r="B30" s="115" t="s">
        <v>36</v>
      </c>
      <c r="C30" s="1">
        <f>'Oct 2022'!H30</f>
        <v>3660.2699999999995</v>
      </c>
      <c r="D30" s="1">
        <v>3.08</v>
      </c>
      <c r="E30" s="1">
        <f>'Oct 2022'!E30+'Nov 2022'!D30</f>
        <v>51.010000000000012</v>
      </c>
      <c r="F30" s="1">
        <v>0</v>
      </c>
      <c r="G30" s="1">
        <f>'Oct 2022'!G30+'Nov 2022'!F30</f>
        <v>0</v>
      </c>
      <c r="H30" s="117">
        <f t="shared" si="0"/>
        <v>3663.3499999999995</v>
      </c>
      <c r="I30" s="1">
        <f>'Oct 2022'!N30</f>
        <v>110.587</v>
      </c>
      <c r="J30" s="1">
        <v>88</v>
      </c>
      <c r="K30" s="1">
        <f>'Oct 2022'!K30+'Nov 2022'!J30</f>
        <v>88</v>
      </c>
      <c r="L30" s="1">
        <v>0</v>
      </c>
      <c r="M30" s="1">
        <f>'Oct 2022'!M30+'Nov 2022'!L30</f>
        <v>0</v>
      </c>
      <c r="N30" s="117">
        <f t="shared" si="1"/>
        <v>198.58699999999999</v>
      </c>
      <c r="O30" s="1">
        <f>'Oct 2022'!T30</f>
        <v>23.25</v>
      </c>
      <c r="P30" s="1">
        <v>0</v>
      </c>
      <c r="Q30" s="1">
        <f>'Oct 2022'!Q30+'Nov 2022'!P30</f>
        <v>0</v>
      </c>
      <c r="R30" s="1">
        <v>0</v>
      </c>
      <c r="S30" s="1">
        <f>'Oct 2022'!S30+'Nov 2022'!R30</f>
        <v>0</v>
      </c>
      <c r="T30" s="117">
        <f t="shared" si="2"/>
        <v>23.25</v>
      </c>
      <c r="U30" s="1">
        <f t="shared" si="3"/>
        <v>3885.1869999999994</v>
      </c>
      <c r="W30" s="146"/>
    </row>
    <row r="31" spans="1:23" s="7" customFormat="1" ht="44.25" customHeight="1">
      <c r="A31" s="113">
        <v>19</v>
      </c>
      <c r="B31" s="115" t="s">
        <v>37</v>
      </c>
      <c r="C31" s="1">
        <f>'Oct 2022'!H31</f>
        <v>4683.8300000000008</v>
      </c>
      <c r="D31" s="1">
        <v>8.6869999999999994</v>
      </c>
      <c r="E31" s="1">
        <f>'Oct 2022'!E31+'Nov 2022'!D31</f>
        <v>26.938000000000002</v>
      </c>
      <c r="F31" s="1">
        <v>0</v>
      </c>
      <c r="G31" s="1">
        <f>'Oct 2022'!G31+'Nov 2022'!F31</f>
        <v>0</v>
      </c>
      <c r="H31" s="117">
        <f t="shared" si="0"/>
        <v>4692.5170000000007</v>
      </c>
      <c r="I31" s="1">
        <f>'Oct 2022'!N31</f>
        <v>107.63000000000002</v>
      </c>
      <c r="J31" s="1">
        <v>0</v>
      </c>
      <c r="K31" s="1">
        <f>'Oct 2022'!K31+'Nov 2022'!J31</f>
        <v>0</v>
      </c>
      <c r="L31" s="1">
        <v>0</v>
      </c>
      <c r="M31" s="1">
        <f>'Oct 2022'!M31+'Nov 2022'!L31</f>
        <v>0</v>
      </c>
      <c r="N31" s="117">
        <f t="shared" si="1"/>
        <v>107.63000000000002</v>
      </c>
      <c r="O31" s="1">
        <f>'Oct 2022'!T31</f>
        <v>14.850000000000001</v>
      </c>
      <c r="P31" s="1">
        <v>0</v>
      </c>
      <c r="Q31" s="1">
        <f>'Oct 2022'!Q31+'Nov 2022'!P31</f>
        <v>0</v>
      </c>
      <c r="R31" s="1">
        <v>0</v>
      </c>
      <c r="S31" s="1">
        <f>'Oct 2022'!S31+'Nov 2022'!R31</f>
        <v>0</v>
      </c>
      <c r="T31" s="117">
        <f t="shared" si="2"/>
        <v>14.850000000000001</v>
      </c>
      <c r="U31" s="1">
        <f t="shared" si="3"/>
        <v>4814.9970000000012</v>
      </c>
      <c r="W31" s="146"/>
    </row>
    <row r="32" spans="1:23" ht="70.5" customHeight="1">
      <c r="A32" s="113">
        <v>20</v>
      </c>
      <c r="B32" s="115" t="s">
        <v>38</v>
      </c>
      <c r="C32" s="1">
        <f>'Oct 2022'!H32</f>
        <v>2350.5457999999994</v>
      </c>
      <c r="D32" s="1">
        <v>1.76</v>
      </c>
      <c r="E32" s="1">
        <f>'Oct 2022'!E32+'Nov 2022'!D32</f>
        <v>19.170000000000002</v>
      </c>
      <c r="F32" s="1">
        <v>0</v>
      </c>
      <c r="G32" s="1">
        <f>'Oct 2022'!G32+'Nov 2022'!F32</f>
        <v>9.7200000000000006</v>
      </c>
      <c r="H32" s="117">
        <f t="shared" si="0"/>
        <v>2352.3057999999996</v>
      </c>
      <c r="I32" s="1">
        <f>'Oct 2022'!N32</f>
        <v>87.296000000000006</v>
      </c>
      <c r="J32" s="1">
        <v>0.3</v>
      </c>
      <c r="K32" s="1">
        <f>'Oct 2022'!K32+'Nov 2022'!J32</f>
        <v>4.83</v>
      </c>
      <c r="L32" s="1">
        <v>0</v>
      </c>
      <c r="M32" s="1">
        <f>'Oct 2022'!M32+'Nov 2022'!L32</f>
        <v>0</v>
      </c>
      <c r="N32" s="117">
        <f t="shared" si="1"/>
        <v>87.596000000000004</v>
      </c>
      <c r="O32" s="1">
        <f>'Oct 2022'!T32</f>
        <v>67.551999999999992</v>
      </c>
      <c r="P32" s="1">
        <v>0</v>
      </c>
      <c r="Q32" s="1">
        <f>'Oct 2022'!Q32+'Nov 2022'!P32</f>
        <v>0</v>
      </c>
      <c r="R32" s="1">
        <v>0</v>
      </c>
      <c r="S32" s="1">
        <f>'Oct 2022'!S32+'Nov 2022'!R32</f>
        <v>0</v>
      </c>
      <c r="T32" s="117">
        <f t="shared" si="2"/>
        <v>67.551999999999992</v>
      </c>
      <c r="U32" s="1">
        <f t="shared" si="3"/>
        <v>2507.4537999999998</v>
      </c>
      <c r="W32" s="146"/>
    </row>
    <row r="33" spans="1:23" s="7" customFormat="1" ht="38.25" customHeight="1">
      <c r="A33" s="112"/>
      <c r="B33" s="118" t="s">
        <v>65</v>
      </c>
      <c r="C33" s="2">
        <f>SUM(C29:C32)</f>
        <v>15474.133800000003</v>
      </c>
      <c r="D33" s="2">
        <f t="shared" ref="D33:U33" si="10">SUM(D29:D32)</f>
        <v>60.356999999999992</v>
      </c>
      <c r="E33" s="2">
        <f t="shared" si="10"/>
        <v>264.74800000000005</v>
      </c>
      <c r="F33" s="2">
        <f t="shared" si="10"/>
        <v>0</v>
      </c>
      <c r="G33" s="2">
        <f t="shared" si="10"/>
        <v>9.7200000000000006</v>
      </c>
      <c r="H33" s="2">
        <f t="shared" si="10"/>
        <v>15534.490800000001</v>
      </c>
      <c r="I33" s="2">
        <f t="shared" si="10"/>
        <v>426.35300000000001</v>
      </c>
      <c r="J33" s="2">
        <f t="shared" si="10"/>
        <v>88.32</v>
      </c>
      <c r="K33" s="2">
        <f t="shared" si="10"/>
        <v>94.3</v>
      </c>
      <c r="L33" s="2">
        <f t="shared" si="10"/>
        <v>0</v>
      </c>
      <c r="M33" s="2">
        <f t="shared" si="10"/>
        <v>0</v>
      </c>
      <c r="N33" s="2">
        <f t="shared" si="10"/>
        <v>514.673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10"/>
        <v>140.172</v>
      </c>
      <c r="U33" s="2">
        <f t="shared" si="10"/>
        <v>16189.335800000001</v>
      </c>
    </row>
    <row r="34" spans="1:23" ht="38.25" customHeight="1">
      <c r="A34" s="113">
        <v>21</v>
      </c>
      <c r="B34" s="115" t="s">
        <v>39</v>
      </c>
      <c r="C34" s="1">
        <f>'Oct 2022'!H34</f>
        <v>4568.6900000000005</v>
      </c>
      <c r="D34" s="1">
        <v>4.17</v>
      </c>
      <c r="E34" s="1">
        <f>'Oct 2022'!E34+'Nov 2022'!D34</f>
        <v>133.75999999999996</v>
      </c>
      <c r="F34" s="1">
        <v>9.89</v>
      </c>
      <c r="G34" s="1">
        <f>'Oct 2022'!G34+'Nov 2022'!F34</f>
        <v>9.89</v>
      </c>
      <c r="H34" s="1">
        <f t="shared" si="0"/>
        <v>4562.97</v>
      </c>
      <c r="I34" s="1">
        <f>'Oct 2022'!N34</f>
        <v>85.029999999999987</v>
      </c>
      <c r="J34" s="1">
        <v>21.76</v>
      </c>
      <c r="K34" s="1">
        <f>'Oct 2022'!K34+'Nov 2022'!J34</f>
        <v>106.78999999999999</v>
      </c>
      <c r="L34" s="1">
        <v>0</v>
      </c>
      <c r="M34" s="1">
        <f>'Oct 2022'!M34+'Nov 2022'!L34</f>
        <v>0</v>
      </c>
      <c r="N34" s="117">
        <f t="shared" si="1"/>
        <v>106.78999999999999</v>
      </c>
      <c r="O34" s="1">
        <f>'Oct 2022'!T34</f>
        <v>72.7</v>
      </c>
      <c r="P34" s="1">
        <v>0</v>
      </c>
      <c r="Q34" s="1">
        <f>'Oct 2022'!Q34+'Nov 2022'!P34</f>
        <v>72.7</v>
      </c>
      <c r="R34" s="1">
        <v>0</v>
      </c>
      <c r="S34" s="1">
        <f>'Oct 2022'!S34+'Nov 2022'!R34</f>
        <v>0</v>
      </c>
      <c r="T34" s="117">
        <f t="shared" si="2"/>
        <v>72.7</v>
      </c>
      <c r="U34" s="1">
        <f t="shared" si="3"/>
        <v>4742.46</v>
      </c>
    </row>
    <row r="35" spans="1:23" ht="38.25" customHeight="1">
      <c r="A35" s="113">
        <v>22</v>
      </c>
      <c r="B35" s="115" t="s">
        <v>40</v>
      </c>
      <c r="C35" s="1">
        <f>'Oct 2022'!H35</f>
        <v>6490.3799999999974</v>
      </c>
      <c r="D35" s="96">
        <f>11.51+40.18</f>
        <v>51.69</v>
      </c>
      <c r="E35" s="1">
        <f>'Oct 2022'!E35+'Nov 2022'!D35</f>
        <v>332.49</v>
      </c>
      <c r="F35" s="1">
        <v>0</v>
      </c>
      <c r="G35" s="1">
        <f>'Oct 2022'!G35+'Nov 2022'!F35</f>
        <v>0</v>
      </c>
      <c r="H35" s="1">
        <f t="shared" si="0"/>
        <v>6542.069999999997</v>
      </c>
      <c r="I35" s="1">
        <f>'Oct 2022'!N35</f>
        <v>34.130000000000003</v>
      </c>
      <c r="J35" s="1">
        <v>0</v>
      </c>
      <c r="K35" s="1">
        <f>'Oct 2022'!K35+'Nov 2022'!J35</f>
        <v>27.21</v>
      </c>
      <c r="L35" s="1">
        <v>0</v>
      </c>
      <c r="M35" s="1">
        <f>'Oct 2022'!M35+'Nov 2022'!L35</f>
        <v>0</v>
      </c>
      <c r="N35" s="117">
        <f t="shared" si="1"/>
        <v>34.130000000000003</v>
      </c>
      <c r="O35" s="1">
        <f>'Oct 2022'!T35</f>
        <v>90.800000000000011</v>
      </c>
      <c r="P35" s="1">
        <v>0</v>
      </c>
      <c r="Q35" s="1">
        <f>'Oct 2022'!Q35+'Nov 2022'!P35</f>
        <v>32.380000000000003</v>
      </c>
      <c r="R35" s="1">
        <v>0</v>
      </c>
      <c r="S35" s="1">
        <f>'Oct 2022'!S35+'Nov 2022'!R35</f>
        <v>0</v>
      </c>
      <c r="T35" s="117">
        <f t="shared" si="2"/>
        <v>90.800000000000011</v>
      </c>
      <c r="U35" s="1">
        <f t="shared" si="3"/>
        <v>6666.9999999999973</v>
      </c>
    </row>
    <row r="36" spans="1:23" s="7" customFormat="1" ht="38.25" customHeight="1">
      <c r="A36" s="113">
        <v>23</v>
      </c>
      <c r="B36" s="115" t="s">
        <v>41</v>
      </c>
      <c r="C36" s="1">
        <f>'Oct 2022'!H36</f>
        <v>3580.88</v>
      </c>
      <c r="D36" s="1">
        <v>7.31</v>
      </c>
      <c r="E36" s="1">
        <f>'Oct 2022'!E36+'Nov 2022'!D36</f>
        <v>137.09</v>
      </c>
      <c r="F36" s="1">
        <v>0</v>
      </c>
      <c r="G36" s="1">
        <f>'Oct 2022'!G36+'Nov 2022'!F36</f>
        <v>0</v>
      </c>
      <c r="H36" s="1">
        <f t="shared" si="0"/>
        <v>3588.19</v>
      </c>
      <c r="I36" s="1">
        <f>'Oct 2022'!N36</f>
        <v>30.250000000000039</v>
      </c>
      <c r="J36" s="1">
        <v>0</v>
      </c>
      <c r="K36" s="1">
        <f>'Oct 2022'!K36+'Nov 2022'!J36</f>
        <v>5.2</v>
      </c>
      <c r="L36" s="1">
        <v>0</v>
      </c>
      <c r="M36" s="1">
        <f>'Oct 2022'!M36+'Nov 2022'!L36</f>
        <v>4.63</v>
      </c>
      <c r="N36" s="117">
        <f t="shared" si="1"/>
        <v>30.250000000000039</v>
      </c>
      <c r="O36" s="1">
        <f>'Oct 2022'!T36</f>
        <v>36.379999999999995</v>
      </c>
      <c r="P36" s="1">
        <v>0</v>
      </c>
      <c r="Q36" s="1">
        <f>'Oct 2022'!Q36+'Nov 2022'!P36</f>
        <v>19.29</v>
      </c>
      <c r="R36" s="1">
        <v>0</v>
      </c>
      <c r="S36" s="1">
        <f>'Oct 2022'!S36+'Nov 2022'!R36</f>
        <v>0</v>
      </c>
      <c r="T36" s="117">
        <f t="shared" si="2"/>
        <v>36.379999999999995</v>
      </c>
      <c r="U36" s="1">
        <f t="shared" si="3"/>
        <v>3654.82</v>
      </c>
    </row>
    <row r="37" spans="1:23" s="7" customFormat="1" ht="38.25" customHeight="1">
      <c r="A37" s="113">
        <v>24</v>
      </c>
      <c r="B37" s="115" t="s">
        <v>42</v>
      </c>
      <c r="C37" s="1">
        <f>'Oct 2022'!H37</f>
        <v>4964.199999999998</v>
      </c>
      <c r="D37" s="96">
        <f>8.7+46.02</f>
        <v>54.72</v>
      </c>
      <c r="E37" s="1">
        <f>'Oct 2022'!E37+'Nov 2022'!D37</f>
        <v>230.8</v>
      </c>
      <c r="F37" s="1">
        <v>0</v>
      </c>
      <c r="G37" s="1">
        <f>'Oct 2022'!G37+'Nov 2022'!F37</f>
        <v>0</v>
      </c>
      <c r="H37" s="1">
        <f t="shared" si="0"/>
        <v>5018.9199999999983</v>
      </c>
      <c r="I37" s="1">
        <f>'Oct 2022'!N37</f>
        <v>26.700000000000003</v>
      </c>
      <c r="J37" s="1">
        <v>0</v>
      </c>
      <c r="K37" s="1">
        <f>'Oct 2022'!K37+'Nov 2022'!J37</f>
        <v>14.27</v>
      </c>
      <c r="L37" s="1">
        <v>0</v>
      </c>
      <c r="M37" s="1">
        <f>'Oct 2022'!M37+'Nov 2022'!L37</f>
        <v>1.06</v>
      </c>
      <c r="N37" s="117">
        <f t="shared" si="1"/>
        <v>26.700000000000003</v>
      </c>
      <c r="O37" s="1">
        <f>'Oct 2022'!T37</f>
        <v>3.0599999999999996</v>
      </c>
      <c r="P37" s="1">
        <v>0</v>
      </c>
      <c r="Q37" s="1">
        <f>'Oct 2022'!Q37+'Nov 2022'!P37</f>
        <v>0</v>
      </c>
      <c r="R37" s="1">
        <v>0</v>
      </c>
      <c r="S37" s="1">
        <f>'Oct 2022'!S37+'Nov 2022'!R37</f>
        <v>3.46</v>
      </c>
      <c r="T37" s="117">
        <f t="shared" si="2"/>
        <v>3.0599999999999996</v>
      </c>
      <c r="U37" s="1">
        <f t="shared" si="3"/>
        <v>5048.6799999999985</v>
      </c>
    </row>
    <row r="38" spans="1:23" s="7" customFormat="1" ht="38.25" customHeight="1">
      <c r="A38" s="112"/>
      <c r="B38" s="118" t="s">
        <v>43</v>
      </c>
      <c r="C38" s="2">
        <f>SUM(C34:C37)</f>
        <v>19604.149999999994</v>
      </c>
      <c r="D38" s="2">
        <f t="shared" ref="D38:U38" si="11">SUM(D34:D37)</f>
        <v>117.89</v>
      </c>
      <c r="E38" s="2">
        <f t="shared" si="11"/>
        <v>834.1400000000001</v>
      </c>
      <c r="F38" s="2">
        <f t="shared" si="11"/>
        <v>9.89</v>
      </c>
      <c r="G38" s="2">
        <f t="shared" si="11"/>
        <v>9.89</v>
      </c>
      <c r="H38" s="2">
        <f t="shared" si="11"/>
        <v>19712.149999999994</v>
      </c>
      <c r="I38" s="2">
        <f t="shared" si="11"/>
        <v>176.11</v>
      </c>
      <c r="J38" s="2">
        <f t="shared" si="11"/>
        <v>21.76</v>
      </c>
      <c r="K38" s="2">
        <f t="shared" si="11"/>
        <v>153.47</v>
      </c>
      <c r="L38" s="2">
        <f t="shared" si="11"/>
        <v>0</v>
      </c>
      <c r="M38" s="2">
        <f t="shared" si="11"/>
        <v>5.6899999999999995</v>
      </c>
      <c r="N38" s="2">
        <f t="shared" si="11"/>
        <v>197.87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11"/>
        <v>202.94</v>
      </c>
      <c r="U38" s="2">
        <f t="shared" si="11"/>
        <v>20112.959999999995</v>
      </c>
    </row>
    <row r="39" spans="1:23" s="7" customFormat="1" ht="38.25" customHeight="1">
      <c r="A39" s="112"/>
      <c r="B39" s="114" t="s">
        <v>44</v>
      </c>
      <c r="C39" s="2">
        <f>C38+C33+C28</f>
        <v>42329.298800000004</v>
      </c>
      <c r="D39" s="2">
        <f t="shared" ref="D39:U39" si="12">D38+D33+D28</f>
        <v>190.387</v>
      </c>
      <c r="E39" s="2">
        <f t="shared" si="12"/>
        <v>1232.3580000000002</v>
      </c>
      <c r="F39" s="2">
        <f t="shared" si="12"/>
        <v>9.89</v>
      </c>
      <c r="G39" s="2">
        <f t="shared" si="12"/>
        <v>19.61</v>
      </c>
      <c r="H39" s="2">
        <f t="shared" si="12"/>
        <v>42509.7958</v>
      </c>
      <c r="I39" s="2">
        <f t="shared" si="12"/>
        <v>1275.5809999999999</v>
      </c>
      <c r="J39" s="2">
        <f t="shared" si="12"/>
        <v>131.59</v>
      </c>
      <c r="K39" s="2">
        <f t="shared" si="12"/>
        <v>280.88</v>
      </c>
      <c r="L39" s="2">
        <f t="shared" si="12"/>
        <v>0</v>
      </c>
      <c r="M39" s="2">
        <f t="shared" si="12"/>
        <v>5.6899999999999995</v>
      </c>
      <c r="N39" s="2">
        <f t="shared" si="12"/>
        <v>1407.1709999999998</v>
      </c>
      <c r="O39" s="2">
        <f t="shared" si="12"/>
        <v>392.81199999999995</v>
      </c>
      <c r="P39" s="2">
        <f t="shared" si="12"/>
        <v>0</v>
      </c>
      <c r="Q39" s="2">
        <f t="shared" si="12"/>
        <v>124.47</v>
      </c>
      <c r="R39" s="2">
        <f t="shared" si="12"/>
        <v>0</v>
      </c>
      <c r="S39" s="2">
        <f t="shared" si="12"/>
        <v>26.66</v>
      </c>
      <c r="T39" s="2">
        <f t="shared" si="12"/>
        <v>392.81199999999995</v>
      </c>
      <c r="U39" s="2">
        <f t="shared" si="12"/>
        <v>44309.7788</v>
      </c>
      <c r="V39" s="2">
        <f t="shared" ref="V39" si="13">V38+V33+V28</f>
        <v>0</v>
      </c>
      <c r="W39" s="2"/>
    </row>
    <row r="40" spans="1:23" ht="38.25" customHeight="1">
      <c r="A40" s="113">
        <v>25</v>
      </c>
      <c r="B40" s="115" t="s">
        <v>45</v>
      </c>
      <c r="C40" s="1">
        <f>'Oct 2022'!H40</f>
        <v>11750.943999999998</v>
      </c>
      <c r="D40" s="1">
        <v>14.53</v>
      </c>
      <c r="E40" s="1">
        <f>'Oct 2022'!E40+'Nov 2022'!D40</f>
        <v>375.03000000000003</v>
      </c>
      <c r="F40" s="1">
        <v>0</v>
      </c>
      <c r="G40" s="1">
        <f>'Oct 2022'!G40+'Nov 2022'!F40</f>
        <v>0</v>
      </c>
      <c r="H40" s="1">
        <f t="shared" si="0"/>
        <v>11765.473999999998</v>
      </c>
      <c r="I40" s="1">
        <f>'Oct 2022'!N40</f>
        <v>198.73</v>
      </c>
      <c r="J40" s="1">
        <v>0</v>
      </c>
      <c r="K40" s="1">
        <f>'Oct 2022'!K40+'Nov 2022'!J40</f>
        <v>0</v>
      </c>
      <c r="L40" s="1">
        <v>0</v>
      </c>
      <c r="M40" s="1">
        <f>'Oct 2022'!M40+'Nov 2022'!L40</f>
        <v>0</v>
      </c>
      <c r="N40" s="117">
        <f t="shared" si="1"/>
        <v>198.73</v>
      </c>
      <c r="O40" s="1">
        <f>'Oct 2022'!T40</f>
        <v>62.370000000000005</v>
      </c>
      <c r="P40" s="1">
        <v>11.14</v>
      </c>
      <c r="Q40" s="1">
        <f>'Oct 2022'!Q40+'Nov 2022'!P40</f>
        <v>73.510000000000005</v>
      </c>
      <c r="R40" s="1">
        <v>0</v>
      </c>
      <c r="S40" s="1">
        <f>'Oct 2022'!S40+'Nov 2022'!R40</f>
        <v>0</v>
      </c>
      <c r="T40" s="1">
        <f t="shared" si="2"/>
        <v>73.510000000000005</v>
      </c>
      <c r="U40" s="1">
        <f t="shared" si="3"/>
        <v>12037.713999999998</v>
      </c>
    </row>
    <row r="41" spans="1:23" ht="38.25" customHeight="1">
      <c r="A41" s="113">
        <v>26</v>
      </c>
      <c r="B41" s="115" t="s">
        <v>46</v>
      </c>
      <c r="C41" s="1">
        <f>'Oct 2022'!H41</f>
        <v>8165.2689999999939</v>
      </c>
      <c r="D41" s="96">
        <f>4.58+36.28</f>
        <v>40.86</v>
      </c>
      <c r="E41" s="1">
        <f>'Oct 2022'!E41+'Nov 2022'!D41</f>
        <v>708.0920000000001</v>
      </c>
      <c r="F41" s="1">
        <v>0</v>
      </c>
      <c r="G41" s="1">
        <f>'Oct 2022'!G41+'Nov 2022'!F41</f>
        <v>0</v>
      </c>
      <c r="H41" s="1">
        <f t="shared" si="0"/>
        <v>8206.1289999999935</v>
      </c>
      <c r="I41" s="1">
        <f>'Oct 2022'!N41</f>
        <v>8.67</v>
      </c>
      <c r="J41" s="1">
        <v>0</v>
      </c>
      <c r="K41" s="1">
        <f>'Oct 2022'!K41+'Nov 2022'!J41</f>
        <v>0</v>
      </c>
      <c r="L41" s="1">
        <v>0</v>
      </c>
      <c r="M41" s="1">
        <f>'Oct 2022'!M41+'Nov 2022'!L41</f>
        <v>0</v>
      </c>
      <c r="N41" s="117">
        <f t="shared" si="1"/>
        <v>8.67</v>
      </c>
      <c r="O41" s="1">
        <f>'Oct 2022'!T41</f>
        <v>62.8</v>
      </c>
      <c r="P41" s="1">
        <v>19.62</v>
      </c>
      <c r="Q41" s="1">
        <f>'Oct 2022'!Q41+'Nov 2022'!P41</f>
        <v>82.42</v>
      </c>
      <c r="R41" s="1">
        <v>0</v>
      </c>
      <c r="S41" s="1">
        <f>'Oct 2022'!S41+'Nov 2022'!R41</f>
        <v>0</v>
      </c>
      <c r="T41" s="1">
        <f t="shared" si="2"/>
        <v>82.42</v>
      </c>
      <c r="U41" s="1">
        <f t="shared" si="3"/>
        <v>8297.2189999999937</v>
      </c>
    </row>
    <row r="42" spans="1:23" s="7" customFormat="1" ht="38.25" customHeight="1">
      <c r="A42" s="113">
        <v>27</v>
      </c>
      <c r="B42" s="115" t="s">
        <v>47</v>
      </c>
      <c r="C42" s="1">
        <f>'Oct 2022'!H42</f>
        <v>13871.268999999995</v>
      </c>
      <c r="D42" s="1">
        <v>6.58</v>
      </c>
      <c r="E42" s="1">
        <f>'Oct 2022'!E42+'Nov 2022'!D42</f>
        <v>72.410000000000011</v>
      </c>
      <c r="F42" s="1">
        <v>0</v>
      </c>
      <c r="G42" s="1">
        <f>'Oct 2022'!G42+'Nov 2022'!F42</f>
        <v>0</v>
      </c>
      <c r="H42" s="1">
        <f t="shared" si="0"/>
        <v>13877.848999999995</v>
      </c>
      <c r="I42" s="1">
        <f>'Oct 2022'!N42</f>
        <v>15.62</v>
      </c>
      <c r="J42" s="1">
        <v>0</v>
      </c>
      <c r="K42" s="1">
        <f>'Oct 2022'!K42+'Nov 2022'!J42</f>
        <v>0</v>
      </c>
      <c r="L42" s="1">
        <v>0</v>
      </c>
      <c r="M42" s="1">
        <f>'Oct 2022'!M42+'Nov 2022'!L42</f>
        <v>0</v>
      </c>
      <c r="N42" s="117">
        <f t="shared" si="1"/>
        <v>15.62</v>
      </c>
      <c r="O42" s="1">
        <f>'Oct 2022'!T42</f>
        <v>95.25</v>
      </c>
      <c r="P42" s="1">
        <v>27.52</v>
      </c>
      <c r="Q42" s="1">
        <f>'Oct 2022'!Q42+'Nov 2022'!P42</f>
        <v>83.75</v>
      </c>
      <c r="R42" s="1">
        <v>0</v>
      </c>
      <c r="S42" s="1">
        <f>'Oct 2022'!S42+'Nov 2022'!R42</f>
        <v>0</v>
      </c>
      <c r="T42" s="1">
        <f t="shared" si="2"/>
        <v>122.77</v>
      </c>
      <c r="U42" s="1">
        <f t="shared" si="3"/>
        <v>14016.238999999996</v>
      </c>
    </row>
    <row r="43" spans="1:23" ht="38.25" customHeight="1">
      <c r="A43" s="113">
        <v>28</v>
      </c>
      <c r="B43" s="115" t="s">
        <v>48</v>
      </c>
      <c r="C43" s="1">
        <f>'Oct 2022'!H43</f>
        <v>4070.9600000000009</v>
      </c>
      <c r="D43" s="96">
        <f>6.32+33.72</f>
        <v>40.04</v>
      </c>
      <c r="E43" s="1">
        <f>'Oct 2022'!E43+'Nov 2022'!D43</f>
        <v>143.52000000000001</v>
      </c>
      <c r="F43" s="1">
        <v>0</v>
      </c>
      <c r="G43" s="1">
        <f>'Oct 2022'!G43+'Nov 2022'!F43</f>
        <v>0</v>
      </c>
      <c r="H43" s="1">
        <f t="shared" si="0"/>
        <v>4111.0000000000009</v>
      </c>
      <c r="I43" s="1">
        <f>'Oct 2022'!N43</f>
        <v>3.5</v>
      </c>
      <c r="J43" s="1">
        <v>0</v>
      </c>
      <c r="K43" s="1">
        <f>'Oct 2022'!K43+'Nov 2022'!J43</f>
        <v>0</v>
      </c>
      <c r="L43" s="1">
        <v>0</v>
      </c>
      <c r="M43" s="1">
        <f>'Oct 2022'!M43+'Nov 2022'!L43</f>
        <v>0</v>
      </c>
      <c r="N43" s="117">
        <f t="shared" si="1"/>
        <v>3.5</v>
      </c>
      <c r="O43" s="1">
        <f>'Oct 2022'!T43</f>
        <v>29.8</v>
      </c>
      <c r="P43" s="1">
        <v>0</v>
      </c>
      <c r="Q43" s="1">
        <f>'Oct 2022'!Q43+'Nov 2022'!P43</f>
        <v>29.8</v>
      </c>
      <c r="R43" s="1">
        <v>0</v>
      </c>
      <c r="S43" s="1">
        <f>'Oct 2022'!S43+'Nov 2022'!R43</f>
        <v>0</v>
      </c>
      <c r="T43" s="117">
        <f t="shared" si="2"/>
        <v>29.8</v>
      </c>
      <c r="U43" s="1">
        <f t="shared" si="3"/>
        <v>4144.3000000000011</v>
      </c>
    </row>
    <row r="44" spans="1:23" s="7" customFormat="1" ht="38.25" customHeight="1">
      <c r="A44" s="112"/>
      <c r="B44" s="118" t="s">
        <v>49</v>
      </c>
      <c r="C44" s="2">
        <f>SUM(C40:C43)</f>
        <v>37858.441999999988</v>
      </c>
      <c r="D44" s="2">
        <f t="shared" ref="D44:U44" si="14">SUM(D40:D43)</f>
        <v>102.00999999999999</v>
      </c>
      <c r="E44" s="2">
        <f t="shared" si="14"/>
        <v>1299.0520000000001</v>
      </c>
      <c r="F44" s="2">
        <f t="shared" si="14"/>
        <v>0</v>
      </c>
      <c r="G44" s="2">
        <f t="shared" si="14"/>
        <v>0</v>
      </c>
      <c r="H44" s="2">
        <f t="shared" si="14"/>
        <v>37960.45199999999</v>
      </c>
      <c r="I44" s="2">
        <f t="shared" si="14"/>
        <v>226.51999999999998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">
        <f t="shared" si="14"/>
        <v>226.51999999999998</v>
      </c>
      <c r="O44" s="2">
        <f t="shared" si="14"/>
        <v>250.22000000000003</v>
      </c>
      <c r="P44" s="2">
        <f t="shared" si="14"/>
        <v>58.28</v>
      </c>
      <c r="Q44" s="2">
        <f t="shared" si="14"/>
        <v>269.48</v>
      </c>
      <c r="R44" s="2">
        <f t="shared" si="14"/>
        <v>0</v>
      </c>
      <c r="S44" s="2">
        <f t="shared" si="14"/>
        <v>0</v>
      </c>
      <c r="T44" s="2">
        <f t="shared" si="14"/>
        <v>308.5</v>
      </c>
      <c r="U44" s="2">
        <f t="shared" si="14"/>
        <v>38495.471999999987</v>
      </c>
    </row>
    <row r="45" spans="1:23" ht="38.25" customHeight="1">
      <c r="A45" s="113">
        <v>29</v>
      </c>
      <c r="B45" s="115" t="s">
        <v>50</v>
      </c>
      <c r="C45" s="1">
        <f>'Oct 2022'!H45</f>
        <v>8160.2421000000004</v>
      </c>
      <c r="D45" s="1">
        <v>23</v>
      </c>
      <c r="E45" s="1">
        <f>'Oct 2022'!E45+'Nov 2022'!D45</f>
        <v>131.26</v>
      </c>
      <c r="F45" s="1">
        <v>0</v>
      </c>
      <c r="G45" s="1">
        <f>'Oct 2022'!G45+'Nov 2022'!F45</f>
        <v>0</v>
      </c>
      <c r="H45" s="117">
        <f t="shared" si="0"/>
        <v>8183.2421000000004</v>
      </c>
      <c r="I45" s="1">
        <f>'Oct 2022'!N45</f>
        <v>208.19</v>
      </c>
      <c r="J45" s="96">
        <f>0.97+51.16</f>
        <v>52.129999999999995</v>
      </c>
      <c r="K45" s="1">
        <f>'Oct 2022'!K45+'Nov 2022'!J45</f>
        <v>218.39999999999998</v>
      </c>
      <c r="L45" s="1">
        <v>0</v>
      </c>
      <c r="M45" s="1">
        <f>'Oct 2022'!M45+'Nov 2022'!L45</f>
        <v>0</v>
      </c>
      <c r="N45" s="117">
        <f t="shared" si="1"/>
        <v>260.32</v>
      </c>
      <c r="O45" s="1">
        <f>'Oct 2022'!T45</f>
        <v>84.22</v>
      </c>
      <c r="P45" s="1">
        <v>0</v>
      </c>
      <c r="Q45" s="1">
        <f>'Oct 2022'!Q45+'Nov 2022'!P45</f>
        <v>69.47</v>
      </c>
      <c r="R45" s="1">
        <v>0</v>
      </c>
      <c r="S45" s="1">
        <f>'Oct 2022'!S45+'Nov 2022'!R45</f>
        <v>0</v>
      </c>
      <c r="T45" s="117">
        <f t="shared" si="2"/>
        <v>84.22</v>
      </c>
      <c r="U45" s="1">
        <f t="shared" si="3"/>
        <v>8527.7821000000004</v>
      </c>
    </row>
    <row r="46" spans="1:23" ht="38.25" customHeight="1">
      <c r="A46" s="113">
        <v>30</v>
      </c>
      <c r="B46" s="115" t="s">
        <v>51</v>
      </c>
      <c r="C46" s="1">
        <f>'Oct 2022'!H46</f>
        <v>7787.4350000000022</v>
      </c>
      <c r="D46" s="1">
        <v>3.85</v>
      </c>
      <c r="E46" s="1">
        <f>'Oct 2022'!E46+'Nov 2022'!D46</f>
        <v>52.79</v>
      </c>
      <c r="F46" s="1">
        <v>0</v>
      </c>
      <c r="G46" s="1">
        <f>'Oct 2022'!G46+'Nov 2022'!F46</f>
        <v>0</v>
      </c>
      <c r="H46" s="117">
        <f t="shared" si="0"/>
        <v>7791.2850000000026</v>
      </c>
      <c r="I46" s="1">
        <f>'Oct 2022'!N46</f>
        <v>0</v>
      </c>
      <c r="J46" s="1">
        <v>0</v>
      </c>
      <c r="K46" s="1">
        <f>'Oct 2022'!K46+'Nov 2022'!J46</f>
        <v>0</v>
      </c>
      <c r="L46" s="1">
        <v>0</v>
      </c>
      <c r="M46" s="1">
        <f>'Oct 2022'!M46+'Nov 2022'!L46</f>
        <v>0</v>
      </c>
      <c r="N46" s="117">
        <f t="shared" si="1"/>
        <v>0</v>
      </c>
      <c r="O46" s="1">
        <f>'Oct 2022'!T46</f>
        <v>47.03</v>
      </c>
      <c r="P46" s="1">
        <v>0</v>
      </c>
      <c r="Q46" s="1">
        <f>'Oct 2022'!Q46+'Nov 2022'!P46</f>
        <v>47.03</v>
      </c>
      <c r="R46" s="1">
        <v>0</v>
      </c>
      <c r="S46" s="1">
        <f>'Oct 2022'!S46+'Nov 2022'!R46</f>
        <v>0</v>
      </c>
      <c r="T46" s="117">
        <f t="shared" si="2"/>
        <v>47.03</v>
      </c>
      <c r="U46" s="1">
        <f t="shared" si="3"/>
        <v>7838.3150000000023</v>
      </c>
    </row>
    <row r="47" spans="1:23" s="7" customFormat="1" ht="38.25" customHeight="1">
      <c r="A47" s="113">
        <v>31</v>
      </c>
      <c r="B47" s="115" t="s">
        <v>52</v>
      </c>
      <c r="C47" s="1">
        <f>'Oct 2022'!H47</f>
        <v>8929.2099999999991</v>
      </c>
      <c r="D47" s="1">
        <v>5.9</v>
      </c>
      <c r="E47" s="1">
        <f>'Oct 2022'!E47+'Nov 2022'!D47</f>
        <v>150.47000000000003</v>
      </c>
      <c r="F47" s="1">
        <v>0</v>
      </c>
      <c r="G47" s="1">
        <f>'Oct 2022'!G47+'Nov 2022'!F47</f>
        <v>0</v>
      </c>
      <c r="H47" s="117">
        <f t="shared" si="0"/>
        <v>8935.1099999999988</v>
      </c>
      <c r="I47" s="1">
        <f>'Oct 2022'!N47</f>
        <v>3.13</v>
      </c>
      <c r="J47" s="1">
        <v>0</v>
      </c>
      <c r="K47" s="1">
        <f>'Oct 2022'!K47+'Nov 2022'!J47</f>
        <v>0</v>
      </c>
      <c r="L47" s="1">
        <v>0</v>
      </c>
      <c r="M47" s="1">
        <f>'Oct 2022'!M47+'Nov 2022'!L47</f>
        <v>0</v>
      </c>
      <c r="N47" s="117">
        <f t="shared" si="1"/>
        <v>3.13</v>
      </c>
      <c r="O47" s="1">
        <f>'Oct 2022'!T47</f>
        <v>64.44</v>
      </c>
      <c r="P47" s="96">
        <v>54.51</v>
      </c>
      <c r="Q47" s="1">
        <f>'Oct 2022'!Q47+'Nov 2022'!P47</f>
        <v>118.91999999999999</v>
      </c>
      <c r="R47" s="1">
        <v>0</v>
      </c>
      <c r="S47" s="1">
        <f>'Oct 2022'!S47+'Nov 2022'!R47</f>
        <v>0</v>
      </c>
      <c r="T47" s="117">
        <f t="shared" si="2"/>
        <v>118.94999999999999</v>
      </c>
      <c r="U47" s="1">
        <f t="shared" si="3"/>
        <v>9057.1899999999987</v>
      </c>
    </row>
    <row r="48" spans="1:23" s="7" customFormat="1" ht="38.25" customHeight="1">
      <c r="A48" s="113">
        <v>32</v>
      </c>
      <c r="B48" s="115" t="s">
        <v>53</v>
      </c>
      <c r="C48" s="1">
        <f>'Oct 2022'!H48</f>
        <v>8584.3189999999995</v>
      </c>
      <c r="D48" s="1">
        <v>2.38</v>
      </c>
      <c r="E48" s="1">
        <f>'Oct 2022'!E48+'Nov 2022'!D48</f>
        <v>389.90999999999997</v>
      </c>
      <c r="F48" s="1">
        <v>0</v>
      </c>
      <c r="G48" s="1">
        <f>'Oct 2022'!G48+'Nov 2022'!F48</f>
        <v>0</v>
      </c>
      <c r="H48" s="117">
        <f t="shared" si="0"/>
        <v>8586.6989999999987</v>
      </c>
      <c r="I48" s="1">
        <f>'Oct 2022'!N48</f>
        <v>5.0249999999999995</v>
      </c>
      <c r="J48" s="1">
        <v>0</v>
      </c>
      <c r="K48" s="1">
        <f>'Oct 2022'!K48+'Nov 2022'!J48</f>
        <v>0</v>
      </c>
      <c r="L48" s="1">
        <v>0</v>
      </c>
      <c r="M48" s="1">
        <f>'Oct 2022'!M48+'Nov 2022'!L48</f>
        <v>0</v>
      </c>
      <c r="N48" s="117">
        <f t="shared" si="1"/>
        <v>5.0249999999999995</v>
      </c>
      <c r="O48" s="1">
        <f>'Oct 2022'!T48</f>
        <v>4.21</v>
      </c>
      <c r="P48" s="1">
        <v>0</v>
      </c>
      <c r="Q48" s="1">
        <f>'Oct 2022'!Q48+'Nov 2022'!P48</f>
        <v>4.21</v>
      </c>
      <c r="R48" s="1">
        <v>0</v>
      </c>
      <c r="S48" s="1">
        <f>'Oct 2022'!S48+'Nov 2022'!R48</f>
        <v>0</v>
      </c>
      <c r="T48" s="117">
        <f t="shared" si="2"/>
        <v>4.21</v>
      </c>
      <c r="U48" s="1">
        <f t="shared" si="3"/>
        <v>8595.9339999999975</v>
      </c>
    </row>
    <row r="49" spans="1:21" s="7" customFormat="1" ht="38.25" customHeight="1">
      <c r="A49" s="112"/>
      <c r="B49" s="118" t="s">
        <v>54</v>
      </c>
      <c r="C49" s="2">
        <f>SUM(C45:C48)</f>
        <v>33461.206099999996</v>
      </c>
      <c r="D49" s="2">
        <f t="shared" ref="D49:U49" si="15">SUM(D45:D48)</f>
        <v>35.130000000000003</v>
      </c>
      <c r="E49" s="2">
        <f t="shared" si="15"/>
        <v>724.43</v>
      </c>
      <c r="F49" s="2">
        <f t="shared" si="15"/>
        <v>0</v>
      </c>
      <c r="G49" s="2">
        <f t="shared" si="15"/>
        <v>0</v>
      </c>
      <c r="H49" s="2">
        <f t="shared" si="15"/>
        <v>33496.3361</v>
      </c>
      <c r="I49" s="2">
        <f t="shared" si="15"/>
        <v>216.345</v>
      </c>
      <c r="J49" s="2">
        <f t="shared" si="15"/>
        <v>52.129999999999995</v>
      </c>
      <c r="K49" s="2">
        <f t="shared" si="15"/>
        <v>218.39999999999998</v>
      </c>
      <c r="L49" s="2">
        <f t="shared" si="15"/>
        <v>0</v>
      </c>
      <c r="M49" s="2">
        <f t="shared" si="15"/>
        <v>0</v>
      </c>
      <c r="N49" s="2">
        <f t="shared" si="15"/>
        <v>268.47499999999997</v>
      </c>
      <c r="O49" s="2">
        <f t="shared" si="15"/>
        <v>199.9</v>
      </c>
      <c r="P49" s="2">
        <f t="shared" si="15"/>
        <v>54.51</v>
      </c>
      <c r="Q49" s="2">
        <f t="shared" si="15"/>
        <v>239.63</v>
      </c>
      <c r="R49" s="2">
        <f t="shared" si="15"/>
        <v>0</v>
      </c>
      <c r="S49" s="2">
        <f t="shared" si="15"/>
        <v>0</v>
      </c>
      <c r="T49" s="2">
        <f t="shared" si="15"/>
        <v>254.41</v>
      </c>
      <c r="U49" s="2">
        <f t="shared" si="15"/>
        <v>34019.221099999995</v>
      </c>
    </row>
    <row r="50" spans="1:21" s="7" customFormat="1" ht="38.25" customHeight="1">
      <c r="A50" s="112"/>
      <c r="B50" s="114" t="s">
        <v>55</v>
      </c>
      <c r="C50" s="2">
        <f>C49+C44</f>
        <v>71319.648099999991</v>
      </c>
      <c r="D50" s="2">
        <f t="shared" ref="D50:U50" si="16">D49+D44</f>
        <v>137.13999999999999</v>
      </c>
      <c r="E50" s="2">
        <f t="shared" si="16"/>
        <v>2023.482</v>
      </c>
      <c r="F50" s="2">
        <f t="shared" si="16"/>
        <v>0</v>
      </c>
      <c r="G50" s="2">
        <f t="shared" si="16"/>
        <v>0</v>
      </c>
      <c r="H50" s="2">
        <f t="shared" si="16"/>
        <v>71456.788099999991</v>
      </c>
      <c r="I50" s="2">
        <f t="shared" si="16"/>
        <v>442.86500000000001</v>
      </c>
      <c r="J50" s="2">
        <f t="shared" si="16"/>
        <v>52.129999999999995</v>
      </c>
      <c r="K50" s="2">
        <f t="shared" si="16"/>
        <v>218.39999999999998</v>
      </c>
      <c r="L50" s="2">
        <f t="shared" si="16"/>
        <v>0</v>
      </c>
      <c r="M50" s="2">
        <f t="shared" si="16"/>
        <v>0</v>
      </c>
      <c r="N50" s="2">
        <f t="shared" si="16"/>
        <v>494.99499999999995</v>
      </c>
      <c r="O50" s="2">
        <f t="shared" si="16"/>
        <v>450.12</v>
      </c>
      <c r="P50" s="2">
        <f t="shared" si="16"/>
        <v>112.78999999999999</v>
      </c>
      <c r="Q50" s="2">
        <f t="shared" si="16"/>
        <v>509.11</v>
      </c>
      <c r="R50" s="2">
        <f t="shared" si="16"/>
        <v>0</v>
      </c>
      <c r="S50" s="2">
        <f t="shared" si="16"/>
        <v>0</v>
      </c>
      <c r="T50" s="2">
        <f t="shared" si="16"/>
        <v>562.91</v>
      </c>
      <c r="U50" s="2">
        <f t="shared" si="16"/>
        <v>72514.693099999975</v>
      </c>
    </row>
    <row r="51" spans="1:21" s="7" customFormat="1" ht="38.25" customHeight="1">
      <c r="A51" s="112"/>
      <c r="B51" s="114" t="s">
        <v>56</v>
      </c>
      <c r="C51" s="2">
        <f>C50+C39+C25</f>
        <v>117903.4629</v>
      </c>
      <c r="D51" s="2">
        <f t="shared" ref="D51:U51" si="17">D50+D39+D25</f>
        <v>328.25700000000001</v>
      </c>
      <c r="E51" s="2">
        <f t="shared" si="17"/>
        <v>3267.4500000000003</v>
      </c>
      <c r="F51" s="2">
        <f t="shared" si="17"/>
        <v>99.31</v>
      </c>
      <c r="G51" s="2">
        <f t="shared" si="17"/>
        <v>552.75</v>
      </c>
      <c r="H51" s="2">
        <f t="shared" si="17"/>
        <v>118132.4099</v>
      </c>
      <c r="I51" s="2">
        <f t="shared" si="17"/>
        <v>10121.86</v>
      </c>
      <c r="J51" s="2">
        <f t="shared" si="17"/>
        <v>250.858</v>
      </c>
      <c r="K51" s="2">
        <f t="shared" si="17"/>
        <v>1786.444</v>
      </c>
      <c r="L51" s="2">
        <f t="shared" si="17"/>
        <v>0.34</v>
      </c>
      <c r="M51" s="2">
        <f t="shared" si="17"/>
        <v>7.85</v>
      </c>
      <c r="N51" s="2">
        <f t="shared" si="17"/>
        <v>10372.378000000001</v>
      </c>
      <c r="O51" s="2">
        <f t="shared" si="17"/>
        <v>1416.29</v>
      </c>
      <c r="P51" s="2">
        <f t="shared" si="17"/>
        <v>113.08999999999999</v>
      </c>
      <c r="Q51" s="2">
        <f t="shared" si="17"/>
        <v>635.94000000000005</v>
      </c>
      <c r="R51" s="2">
        <f t="shared" si="17"/>
        <v>2.11</v>
      </c>
      <c r="S51" s="2">
        <f t="shared" si="17"/>
        <v>50.150000000000006</v>
      </c>
      <c r="T51" s="2">
        <f t="shared" si="17"/>
        <v>1527.27</v>
      </c>
      <c r="U51" s="2">
        <f t="shared" si="17"/>
        <v>130032.05789999997</v>
      </c>
    </row>
    <row r="52" spans="1:21" s="7" customFormat="1" ht="28.5" customHeight="1">
      <c r="A52" s="18"/>
      <c r="B52" s="27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1:21" s="18" customFormat="1" ht="24.75" customHeight="1">
      <c r="B53" s="25"/>
      <c r="C53" s="142" t="s">
        <v>57</v>
      </c>
      <c r="D53" s="142"/>
      <c r="E53" s="142"/>
      <c r="F53" s="142"/>
      <c r="G53" s="142"/>
      <c r="H53" s="6"/>
      <c r="I53" s="110"/>
      <c r="J53" s="110">
        <f>D51+J51+P51-F51-L51-R51</f>
        <v>590.44499999999994</v>
      </c>
      <c r="K53" s="110"/>
      <c r="L53" s="110"/>
      <c r="M53" s="110"/>
      <c r="N53" s="110"/>
      <c r="R53" s="110"/>
      <c r="U53" s="110"/>
    </row>
    <row r="54" spans="1:21" s="18" customFormat="1" ht="30" customHeight="1">
      <c r="B54" s="25"/>
      <c r="C54" s="142" t="s">
        <v>58</v>
      </c>
      <c r="D54" s="142"/>
      <c r="E54" s="142"/>
      <c r="F54" s="142"/>
      <c r="G54" s="142"/>
      <c r="H54" s="4"/>
      <c r="I54" s="110"/>
      <c r="J54" s="110">
        <f>E51+K51+Q51-G51-M51-S51</f>
        <v>5079.0840000000007</v>
      </c>
      <c r="K54" s="110"/>
      <c r="L54" s="110"/>
      <c r="M54" s="110"/>
      <c r="N54" s="110"/>
      <c r="R54" s="110"/>
      <c r="T54" s="110"/>
    </row>
    <row r="55" spans="1:21" ht="54" customHeight="1">
      <c r="C55" s="142" t="s">
        <v>59</v>
      </c>
      <c r="D55" s="142"/>
      <c r="E55" s="142"/>
      <c r="F55" s="142"/>
      <c r="G55" s="142"/>
      <c r="H55" s="4"/>
      <c r="I55" s="19"/>
      <c r="J55" s="25">
        <f>H51+N51+T51</f>
        <v>130032.0579</v>
      </c>
      <c r="K55" s="4"/>
      <c r="L55" s="4"/>
      <c r="M55" s="78"/>
      <c r="N55" s="4"/>
      <c r="P55" s="18"/>
      <c r="Q55" s="20"/>
      <c r="U55" s="20"/>
    </row>
    <row r="56" spans="1:21" ht="33" customHeight="1">
      <c r="C56" s="21"/>
      <c r="D56" s="110"/>
      <c r="E56" s="110"/>
      <c r="F56" s="110"/>
      <c r="G56" s="110"/>
      <c r="H56" s="4"/>
      <c r="I56" s="19"/>
      <c r="J56" s="110"/>
      <c r="K56" s="4"/>
      <c r="L56" s="61"/>
      <c r="M56" s="4"/>
      <c r="N56" s="11">
        <f>'[1]sep 2020 '!J56+'Nov 2022'!J53</f>
        <v>117341.3559</v>
      </c>
      <c r="P56" s="18"/>
      <c r="Q56" s="20"/>
      <c r="U56" s="20"/>
    </row>
    <row r="57" spans="1:21" ht="37.5" customHeight="1">
      <c r="B57" s="141" t="s">
        <v>60</v>
      </c>
      <c r="C57" s="141"/>
      <c r="D57" s="141"/>
      <c r="E57" s="141"/>
      <c r="F57" s="141"/>
      <c r="G57" s="6"/>
      <c r="H57" s="7"/>
      <c r="I57" s="8"/>
      <c r="J57" s="144"/>
      <c r="K57" s="143"/>
      <c r="L57" s="143"/>
      <c r="M57" s="22">
        <f>'[2]April 2021'!J55+'Nov 2022'!J53</f>
        <v>120806.9639</v>
      </c>
      <c r="N57" s="7"/>
      <c r="O57" s="3"/>
      <c r="P57" s="111"/>
      <c r="Q57" s="141" t="s">
        <v>61</v>
      </c>
      <c r="R57" s="141"/>
      <c r="S57" s="141"/>
      <c r="T57" s="141"/>
      <c r="U57" s="141"/>
    </row>
    <row r="58" spans="1:21" ht="37.5" customHeight="1">
      <c r="B58" s="141" t="s">
        <v>62</v>
      </c>
      <c r="C58" s="141"/>
      <c r="D58" s="141"/>
      <c r="E58" s="141"/>
      <c r="F58" s="141"/>
      <c r="G58" s="7"/>
      <c r="H58" s="6"/>
      <c r="I58" s="9"/>
      <c r="J58" s="10"/>
      <c r="K58" s="109"/>
      <c r="L58" s="10"/>
      <c r="M58" s="7"/>
      <c r="N58" s="29">
        <f>'[2]July 2021'!J55+'Nov 2022'!J53</f>
        <v>121595.71489999999</v>
      </c>
      <c r="O58" s="29">
        <f>'[2]April 2021'!J55+'Nov 2022'!J53</f>
        <v>120806.9639</v>
      </c>
      <c r="P58" s="111"/>
      <c r="Q58" s="141" t="s">
        <v>62</v>
      </c>
      <c r="R58" s="141"/>
      <c r="S58" s="141"/>
      <c r="T58" s="141"/>
      <c r="U58" s="141"/>
    </row>
    <row r="59" spans="1:21" ht="37.5" customHeight="1">
      <c r="H59" s="11">
        <f>'[1]Feb 2021'!J55+'Nov 2022'!J53</f>
        <v>120286.1529</v>
      </c>
      <c r="J59" s="143" t="s">
        <v>63</v>
      </c>
      <c r="K59" s="143"/>
      <c r="L59" s="143"/>
      <c r="M59" s="11" t="e">
        <f>#REF!+'Nov 2022'!J53</f>
        <v>#REF!</v>
      </c>
      <c r="N59" s="4"/>
    </row>
    <row r="60" spans="1:21" ht="37.5" customHeight="1">
      <c r="G60" s="4"/>
      <c r="H60" s="11">
        <f>H51+N51+T51</f>
        <v>130032.0579</v>
      </c>
      <c r="J60" s="143" t="s">
        <v>64</v>
      </c>
      <c r="K60" s="143"/>
      <c r="L60" s="143"/>
      <c r="M60" s="11" t="e">
        <f>#REF!+'Nov 2022'!J53</f>
        <v>#REF!</v>
      </c>
      <c r="O60" s="78">
        <f>'Aug 2022  '!J55+'Nov 2022'!J53</f>
        <v>128774.35189999999</v>
      </c>
    </row>
    <row r="61" spans="1:21">
      <c r="H61" s="23"/>
    </row>
    <row r="62" spans="1:21">
      <c r="G62" s="4"/>
      <c r="H62" s="11">
        <f>'[1]nov 2020'!J56+'Nov 2022'!J53</f>
        <v>119205.2959</v>
      </c>
      <c r="I62" s="24"/>
      <c r="J62" s="23"/>
      <c r="N62" s="4">
        <f>C51+I51+O51</f>
        <v>129441.61289999999</v>
      </c>
    </row>
    <row r="63" spans="1:21">
      <c r="H63" s="11">
        <f>'[1]nov 2020'!J56+'Nov 2022'!J53</f>
        <v>119205.2959</v>
      </c>
      <c r="I63" s="30">
        <f>'[2]June 2021)'!J55+'Nov 2022'!J53</f>
        <v>121266.94390000001</v>
      </c>
      <c r="J63" s="23"/>
      <c r="N63" s="4">
        <f>E51+K51+Q51</f>
        <v>5689.8340000000007</v>
      </c>
    </row>
    <row r="64" spans="1:21">
      <c r="H64" s="11">
        <f>'[3]nov 17'!J53+'[3]dec 17'!J51</f>
        <v>98988.2883</v>
      </c>
      <c r="I64" s="24"/>
      <c r="J64" s="23"/>
      <c r="K64" s="4"/>
      <c r="N64" s="4">
        <f>F51+M51+S51</f>
        <v>157.31</v>
      </c>
    </row>
    <row r="65" spans="8:21">
      <c r="H65" s="23"/>
      <c r="I65" s="24"/>
      <c r="J65" s="23"/>
    </row>
    <row r="66" spans="8:21" ht="63">
      <c r="H66" s="23"/>
      <c r="I66" s="24"/>
      <c r="J66" s="23"/>
      <c r="K66" s="5">
        <v>160.51</v>
      </c>
      <c r="L66" s="5" t="s">
        <v>79</v>
      </c>
      <c r="N66" s="4">
        <f>N62+N63-N64</f>
        <v>134974.13689999998</v>
      </c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March 2022</vt:lpstr>
      <vt:lpstr>April 2022 </vt:lpstr>
      <vt:lpstr>May 2022</vt:lpstr>
      <vt:lpstr>June 2022</vt:lpstr>
      <vt:lpstr>July 2022</vt:lpstr>
      <vt:lpstr>Aug 2022  </vt:lpstr>
      <vt:lpstr>Sep 2022</vt:lpstr>
      <vt:lpstr>Oct 2022</vt:lpstr>
      <vt:lpstr>Nov 2022</vt:lpstr>
      <vt:lpstr>Dec 2022</vt:lpstr>
      <vt:lpstr>Jan 2023</vt:lpstr>
      <vt:lpstr>HT</vt:lpstr>
      <vt:lpstr>'April 2022 '!Print_Area</vt:lpstr>
      <vt:lpstr>'Aug 2022  '!Print_Area</vt:lpstr>
      <vt:lpstr>'Dec 2022'!Print_Area</vt:lpstr>
      <vt:lpstr>'Jan 2023'!Print_Area</vt:lpstr>
      <vt:lpstr>'July 2022'!Print_Area</vt:lpstr>
      <vt:lpstr>'June 2022'!Print_Area</vt:lpstr>
      <vt:lpstr>'March 2022'!Print_Area</vt:lpstr>
      <vt:lpstr>'May 2022'!Print_Area</vt:lpstr>
      <vt:lpstr>'Nov 2022'!Print_Area</vt:lpstr>
      <vt:lpstr>'Oct 2022'!Print_Area</vt:lpstr>
      <vt:lpstr>'Sep 2022'!Print_Area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2023-02-10T11:58:38Z</dcterms:modified>
</cp:coreProperties>
</file>